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655" windowWidth="11580" windowHeight="2970" tabRatio="800" activeTab="0"/>
  </bookViews>
  <sheets>
    <sheet name="аналіз фінансування" sheetId="1" r:id="rId1"/>
    <sheet name="апарат" sheetId="2" r:id="rId2"/>
    <sheet name="освіта" sheetId="3" r:id="rId3"/>
    <sheet name="охорона здоров'я" sheetId="4" r:id="rId4"/>
    <sheet name="культура" sheetId="5" r:id="rId5"/>
    <sheet name="фізкультура" sheetId="6" r:id="rId6"/>
    <sheet name="молодь" sheetId="7" r:id="rId7"/>
    <sheet name="ЖКГ" sheetId="8" r:id="rId8"/>
    <sheet name="галузі" sheetId="9" r:id="rId9"/>
    <sheet name="КЕКВ" sheetId="10" r:id="rId10"/>
  </sheets>
  <definedNames>
    <definedName name="_xlnm.Print_Titles" localSheetId="0">'аналіз фінансування'!$3:$5</definedName>
  </definedNames>
  <calcPr fullCalcOnLoad="1"/>
</workbook>
</file>

<file path=xl/sharedStrings.xml><?xml version="1.0" encoding="utf-8"?>
<sst xmlns="http://schemas.openxmlformats.org/spreadsheetml/2006/main" count="162" uniqueCount="112">
  <si>
    <t>Енергоносії</t>
  </si>
  <si>
    <t>Харчування</t>
  </si>
  <si>
    <t>Медикаменти</t>
  </si>
  <si>
    <t>Заробітна плата</t>
  </si>
  <si>
    <t>Фізична культура</t>
  </si>
  <si>
    <t xml:space="preserve">Заробітна плата </t>
  </si>
  <si>
    <t>Молодь</t>
  </si>
  <si>
    <t>Святкування</t>
  </si>
  <si>
    <t>фонд міського голови</t>
  </si>
  <si>
    <t>фонд депутатів</t>
  </si>
  <si>
    <t>АУП</t>
  </si>
  <si>
    <t>Соцзахист</t>
  </si>
  <si>
    <t>ЖКГ</t>
  </si>
  <si>
    <t>Резервний фонд</t>
  </si>
  <si>
    <t>Трансферти населенню</t>
  </si>
  <si>
    <t>Міськ.прогр."Призовна дільниця"</t>
  </si>
  <si>
    <t>Засоби масової інформації</t>
  </si>
  <si>
    <t>Культура</t>
  </si>
  <si>
    <t>ВСЬОГО /загальний фонд/:</t>
  </si>
  <si>
    <t>Охорона здоров'я</t>
  </si>
  <si>
    <t>Видатки не віднесені до основних груп</t>
  </si>
  <si>
    <t>Прогр.розвитку земельних відносин</t>
  </si>
  <si>
    <t>Питома вага в видатках всього/на галузь</t>
  </si>
  <si>
    <t>Факт, тис.грн.</t>
  </si>
  <si>
    <t>Соснівський р-н</t>
  </si>
  <si>
    <t>Придніпровський р-н</t>
  </si>
  <si>
    <t>енергоносії</t>
  </si>
  <si>
    <t>Освіта</t>
  </si>
  <si>
    <t>інші</t>
  </si>
  <si>
    <t>Програми</t>
  </si>
  <si>
    <t>інші видатки</t>
  </si>
  <si>
    <t>план</t>
  </si>
  <si>
    <t>факт</t>
  </si>
  <si>
    <t>Видатки всього</t>
  </si>
  <si>
    <t>програма здійснення заходів щодо мобілізації коштів</t>
  </si>
  <si>
    <t>обласний бюджет</t>
  </si>
  <si>
    <t>Дотація з державного бюджету районним бюджетам на поетапне підвищення заробітної плати</t>
  </si>
  <si>
    <t>Дотація з міського бюджету районним бюджетам</t>
  </si>
  <si>
    <t>Пільговий проїзд</t>
  </si>
  <si>
    <t>Міськ. програма організації і діяльності органів самоорг-ї нас-ня</t>
  </si>
  <si>
    <t>субенція держбюджету на виконання програм соц.-економічного та культурного розвитку регіонів</t>
  </si>
  <si>
    <t>Назва галузі</t>
  </si>
  <si>
    <t>Субвенція районним, обласному та іншим бюджетам</t>
  </si>
  <si>
    <t>інші бюджети</t>
  </si>
  <si>
    <t>в т.ч. заробітна плата</t>
  </si>
  <si>
    <t>Теріторіальні центри</t>
  </si>
  <si>
    <t>Соснівський район</t>
  </si>
  <si>
    <t>Придніпровський район</t>
  </si>
  <si>
    <t>Програма розвитку дизайну міського середовища та зовнішньої реклами</t>
  </si>
  <si>
    <t>трансферти населенню</t>
  </si>
  <si>
    <t>харчування</t>
  </si>
  <si>
    <t>Передача коштів до бюджету розвитку</t>
  </si>
  <si>
    <t>Субвенція обласному бюджету на соц-економ розвиток</t>
  </si>
  <si>
    <t>Міськ.прогр. управління об'єктами міської комун. власності</t>
  </si>
  <si>
    <t>на фінансування амбулаторного лікування хворих нефрологічного профілю</t>
  </si>
  <si>
    <t>Міськ. прогр. управління місцевим боргом та забезпечення обігу муніципальних облігацій</t>
  </si>
  <si>
    <t>Програма підвищення енергоефективності та зменшення споживання енергоресурсів</t>
  </si>
  <si>
    <t>програма забезпечення пожежної безпеки</t>
  </si>
  <si>
    <t>Субвенція державному та обласному бюджетам</t>
  </si>
  <si>
    <t>Міськ. прогр. нагородження громадян за заслуги перед м. Черкаси</t>
  </si>
  <si>
    <t>прогр.забезпечення безоплатними обідами</t>
  </si>
  <si>
    <t>прогр.щодо виплати премій учням</t>
  </si>
  <si>
    <t>прогр.виплати муніципальних стипендій</t>
  </si>
  <si>
    <t>прогр.розвитку позашкільних навч.закладів</t>
  </si>
  <si>
    <t>прогр. "Телефон довіри"</t>
  </si>
  <si>
    <t>прогр.підтримки сімей та молоді</t>
  </si>
  <si>
    <t>прогр.оздоровлення та відпочинку дітей</t>
  </si>
  <si>
    <t>прогр.сприяння проведення змагань</t>
  </si>
  <si>
    <t>прогр.розвитку культури</t>
  </si>
  <si>
    <t>прогр. "Черкаські таланти"</t>
  </si>
  <si>
    <t>прогр.виділення грантів у галузі культури</t>
  </si>
  <si>
    <t>прогр.профілактики та лікування тромбоемболічних ускладнень серцево-судинних захворювань</t>
  </si>
  <si>
    <t>прогр.забезпечення замісною ферментотерапією хворих на муковісцидоз</t>
  </si>
  <si>
    <t>прогр. "Репродуктивне здоров'я"</t>
  </si>
  <si>
    <t>прогр.забезпечення туберкулінодіагностикою дитячого населення</t>
  </si>
  <si>
    <t>прогр."Забезпечення продуктами лікувального харчування дітей, хворих на фенілкетонурію</t>
  </si>
  <si>
    <t>прогр.забезпечення діагностики невідкладних станів на комп'ютерному томографі</t>
  </si>
  <si>
    <t>прогр.розвитку паліативної допомоги</t>
  </si>
  <si>
    <t>прогр.забезпечення житлом дітей-сиріт</t>
  </si>
  <si>
    <t>Надання пільгового довгострокового кредиту</t>
  </si>
  <si>
    <t>Програма проведення профілактичних медичних оглядів</t>
  </si>
  <si>
    <t>в т.ч. грошова допомога для оплати вартості оренди житла, що винаймається тимчасово розселеним переселенцям</t>
  </si>
  <si>
    <t>в т.ч. медикаменти</t>
  </si>
  <si>
    <t>в т.ч. за рахунок освітньої субвенції</t>
  </si>
  <si>
    <t>в т.ч. за рахунок медичної субвенції</t>
  </si>
  <si>
    <t>в т.ч. енергоносії</t>
  </si>
  <si>
    <t>Програма підтримки обороноздатності м. Черкаси</t>
  </si>
  <si>
    <t>Програма підтримки учасників антитерористичної операції</t>
  </si>
  <si>
    <t>Природоохоронні заходи (200600, 200700)</t>
  </si>
  <si>
    <t>Субвенція державному бюджету на виконання програм соціально-економічного та культурного розвитку регіонів (250344)</t>
  </si>
  <si>
    <t>Програма підтримки об'єднань співвласників баготоквартирних будинків ОСББ</t>
  </si>
  <si>
    <t>в т.ч. трансферти населенню</t>
  </si>
  <si>
    <t>План на рік, тис.грн.</t>
  </si>
  <si>
    <t>Відхилення від плану на рік, тис.грн.</t>
  </si>
  <si>
    <t>Відсоток виконання плану на рік</t>
  </si>
  <si>
    <t>Громадський бюджет</t>
  </si>
  <si>
    <t>Підвищення кваліфікації кадрів</t>
  </si>
  <si>
    <t>Програма розвитку велосипедної інфраструктури</t>
  </si>
  <si>
    <t>Програма розвитку земельних відносин</t>
  </si>
  <si>
    <t>Програма впорядкуванні тимчасових споруд і зовнішньої реклами</t>
  </si>
  <si>
    <t>Субвенція обласному бюджету (250380)</t>
  </si>
  <si>
    <t>Програма забезпечення правопорядку в м. Черкаси</t>
  </si>
  <si>
    <t>Заходи запобігання і ліквідації НС</t>
  </si>
  <si>
    <t>Міськ.прогр.підтримки громадського транспорту</t>
  </si>
  <si>
    <t>Рятування на водах</t>
  </si>
  <si>
    <t>Дорожній фонд</t>
  </si>
  <si>
    <t>Обслуговування боргу</t>
  </si>
  <si>
    <t>Реверсна дотація</t>
  </si>
  <si>
    <t>План на 2 місяці, тис.грн.</t>
  </si>
  <si>
    <t>Відсоток виконання плану 2 місяців</t>
  </si>
  <si>
    <t>Відхилення від плану 2 місяців, тис.грн.</t>
  </si>
  <si>
    <t>Аналіз використання коштів міського бюджету за 2017 рік станом на 03.02.2017 року</t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</si>
</sst>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%"/>
    <numFmt numFmtId="189" formatCode="0.0"/>
    <numFmt numFmtId="190" formatCode="#,##0.0"/>
    <numFmt numFmtId="191" formatCode="#,##0.00000"/>
  </numFmts>
  <fonts count="59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 Cyr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24"/>
      <name val="Arial Cyr"/>
      <family val="0"/>
    </font>
    <font>
      <i/>
      <sz val="10"/>
      <name val="Arial Cyr"/>
      <family val="0"/>
    </font>
    <font>
      <b/>
      <i/>
      <sz val="11"/>
      <name val="Arial Cyr"/>
      <family val="0"/>
    </font>
    <font>
      <i/>
      <sz val="14"/>
      <name val="Arial Cyr"/>
      <family val="0"/>
    </font>
    <font>
      <sz val="19"/>
      <color indexed="8"/>
      <name val="Arial Cyr"/>
      <family val="0"/>
    </font>
    <font>
      <sz val="14"/>
      <color indexed="8"/>
      <name val="Arial Cyr"/>
      <family val="0"/>
    </font>
    <font>
      <sz val="12"/>
      <color indexed="8"/>
      <name val="Arial Cyr"/>
      <family val="0"/>
    </font>
    <font>
      <sz val="17.45"/>
      <color indexed="8"/>
      <name val="Arial Cyr"/>
      <family val="0"/>
    </font>
    <font>
      <sz val="19.25"/>
      <color indexed="8"/>
      <name val="Arial Cyr"/>
      <family val="0"/>
    </font>
    <font>
      <sz val="10.5"/>
      <color indexed="8"/>
      <name val="Arial Cyr"/>
      <family val="0"/>
    </font>
    <font>
      <b/>
      <sz val="12"/>
      <color indexed="8"/>
      <name val="Arial Cyr"/>
      <family val="0"/>
    </font>
    <font>
      <sz val="13"/>
      <color indexed="8"/>
      <name val="Arial Cyr"/>
      <family val="0"/>
    </font>
    <font>
      <sz val="17.7"/>
      <color indexed="8"/>
      <name val="Arial Cyr"/>
      <family val="0"/>
    </font>
    <font>
      <sz val="20"/>
      <color indexed="8"/>
      <name val="Arial Cyr"/>
      <family val="0"/>
    </font>
    <font>
      <sz val="11.25"/>
      <color indexed="8"/>
      <name val="Arial Cyr"/>
      <family val="0"/>
    </font>
    <font>
      <sz val="18.4"/>
      <color indexed="8"/>
      <name val="Arial Cyr"/>
      <family val="0"/>
    </font>
    <font>
      <sz val="19.75"/>
      <color indexed="8"/>
      <name val="Arial Cyr"/>
      <family val="0"/>
    </font>
    <font>
      <sz val="18.15"/>
      <color indexed="8"/>
      <name val="Arial Cyr"/>
      <family val="0"/>
    </font>
    <font>
      <sz val="16"/>
      <color indexed="8"/>
      <name val="Arial Cyr"/>
      <family val="0"/>
    </font>
    <font>
      <sz val="11"/>
      <color indexed="8"/>
      <name val="Arial Cyr"/>
      <family val="0"/>
    </font>
    <font>
      <sz val="16.5"/>
      <color indexed="8"/>
      <name val="Arial Cyr"/>
      <family val="0"/>
    </font>
    <font>
      <sz val="15.15"/>
      <color indexed="8"/>
      <name val="Arial Cyr"/>
      <family val="0"/>
    </font>
    <font>
      <b/>
      <sz val="13"/>
      <color indexed="8"/>
      <name val="Arial Cyr"/>
      <family val="0"/>
    </font>
    <font>
      <sz val="10"/>
      <color indexed="8"/>
      <name val="Arial Cyr"/>
      <family val="0"/>
    </font>
    <font>
      <sz val="14"/>
      <color indexed="9"/>
      <name val="Arial Cyr"/>
      <family val="0"/>
    </font>
    <font>
      <b/>
      <sz val="14"/>
      <color indexed="9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3"/>
      <color indexed="8"/>
      <name val="Arial Cyr"/>
      <family val="0"/>
    </font>
    <font>
      <b/>
      <sz val="24"/>
      <color indexed="8"/>
      <name val="Arial Cyr"/>
      <family val="0"/>
    </font>
    <font>
      <b/>
      <sz val="23.5"/>
      <color indexed="8"/>
      <name val="Arial Cyr"/>
      <family val="0"/>
    </font>
    <font>
      <b/>
      <sz val="23.75"/>
      <color indexed="8"/>
      <name val="Arial Cyr"/>
      <family val="0"/>
    </font>
    <font>
      <b/>
      <sz val="19.75"/>
      <color indexed="8"/>
      <name val="Arial Cyr"/>
      <family val="0"/>
    </font>
    <font>
      <b/>
      <sz val="23.25"/>
      <color indexed="8"/>
      <name val="Arial Cyr"/>
      <family val="0"/>
    </font>
    <font>
      <b/>
      <sz val="22.25"/>
      <color indexed="8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/>
      <top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9" borderId="0" applyNumberFormat="0" applyBorder="0" applyAlignment="0" applyProtection="0"/>
    <xf numFmtId="0" fontId="37" fillId="7" borderId="1" applyNumberFormat="0" applyAlignment="0" applyProtection="0"/>
    <xf numFmtId="0" fontId="38" fillId="20" borderId="2" applyNumberFormat="0" applyAlignment="0" applyProtection="0"/>
    <xf numFmtId="0" fontId="3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1" borderId="7" applyNumberFormat="0" applyAlignment="0" applyProtection="0"/>
    <xf numFmtId="0" fontId="45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2" fillId="0" borderId="0">
      <alignment/>
      <protection/>
    </xf>
    <xf numFmtId="0" fontId="47" fillId="3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4" borderId="0" applyNumberFormat="0" applyBorder="0" applyAlignment="0" applyProtection="0"/>
  </cellStyleXfs>
  <cellXfs count="136">
    <xf numFmtId="0" fontId="0" fillId="0" borderId="0" xfId="0" applyAlignment="1">
      <alignment/>
    </xf>
    <xf numFmtId="189" fontId="3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89" fontId="4" fillId="24" borderId="11" xfId="0" applyNumberFormat="1" applyFont="1" applyFill="1" applyBorder="1" applyAlignment="1">
      <alignment/>
    </xf>
    <xf numFmtId="0" fontId="6" fillId="0" borderId="0" xfId="0" applyFont="1" applyAlignment="1">
      <alignment/>
    </xf>
    <xf numFmtId="189" fontId="6" fillId="0" borderId="0" xfId="0" applyNumberFormat="1" applyFont="1" applyAlignment="1">
      <alignment/>
    </xf>
    <xf numFmtId="189" fontId="4" fillId="0" borderId="10" xfId="0" applyNumberFormat="1" applyFont="1" applyFill="1" applyBorder="1" applyAlignment="1">
      <alignment/>
    </xf>
    <xf numFmtId="189" fontId="4" fillId="0" borderId="1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2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2" fontId="3" fillId="0" borderId="10" xfId="0" applyNumberFormat="1" applyFont="1" applyFill="1" applyBorder="1" applyAlignment="1">
      <alignment/>
    </xf>
    <xf numFmtId="0" fontId="5" fillId="24" borderId="13" xfId="0" applyFont="1" applyFill="1" applyBorder="1" applyAlignment="1">
      <alignment wrapText="1"/>
    </xf>
    <xf numFmtId="189" fontId="4" fillId="0" borderId="14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0" fontId="5" fillId="0" borderId="10" xfId="0" applyFont="1" applyFill="1" applyBorder="1" applyAlignment="1">
      <alignment wrapText="1"/>
    </xf>
    <xf numFmtId="189" fontId="5" fillId="0" borderId="10" xfId="0" applyNumberFormat="1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189" fontId="5" fillId="24" borderId="11" xfId="0" applyNumberFormat="1" applyFont="1" applyFill="1" applyBorder="1" applyAlignment="1">
      <alignment/>
    </xf>
    <xf numFmtId="189" fontId="0" fillId="0" borderId="0" xfId="0" applyNumberFormat="1" applyFont="1" applyFill="1" applyAlignment="1">
      <alignment/>
    </xf>
    <xf numFmtId="0" fontId="8" fillId="0" borderId="0" xfId="0" applyFont="1" applyFill="1" applyBorder="1" applyAlignment="1">
      <alignment horizontal="center" wrapText="1"/>
    </xf>
    <xf numFmtId="0" fontId="4" fillId="24" borderId="13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wrapText="1"/>
    </xf>
    <xf numFmtId="0" fontId="5" fillId="0" borderId="15" xfId="0" applyFont="1" applyFill="1" applyBorder="1" applyAlignment="1">
      <alignment wrapText="1"/>
    </xf>
    <xf numFmtId="0" fontId="5" fillId="24" borderId="15" xfId="0" applyFont="1" applyFill="1" applyBorder="1" applyAlignment="1">
      <alignment wrapText="1"/>
    </xf>
    <xf numFmtId="0" fontId="5" fillId="0" borderId="14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189" fontId="3" fillId="0" borderId="10" xfId="0" applyNumberFormat="1" applyFont="1" applyFill="1" applyBorder="1" applyAlignment="1">
      <alignment horizontal="center"/>
    </xf>
    <xf numFmtId="189" fontId="4" fillId="24" borderId="11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wrapText="1"/>
    </xf>
    <xf numFmtId="0" fontId="5" fillId="0" borderId="16" xfId="0" applyFont="1" applyFill="1" applyBorder="1" applyAlignment="1">
      <alignment wrapText="1"/>
    </xf>
    <xf numFmtId="2" fontId="4" fillId="24" borderId="11" xfId="0" applyNumberFormat="1" applyFont="1" applyFill="1" applyBorder="1" applyAlignment="1">
      <alignment/>
    </xf>
    <xf numFmtId="189" fontId="4" fillId="0" borderId="16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89" fontId="0" fillId="0" borderId="0" xfId="0" applyNumberFormat="1" applyFont="1" applyFill="1" applyBorder="1" applyAlignment="1">
      <alignment/>
    </xf>
    <xf numFmtId="189" fontId="5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wrapText="1"/>
    </xf>
    <xf numFmtId="190" fontId="3" fillId="0" borderId="12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/>
    </xf>
    <xf numFmtId="190" fontId="4" fillId="24" borderId="13" xfId="0" applyNumberFormat="1" applyFont="1" applyFill="1" applyBorder="1" applyAlignment="1">
      <alignment wrapText="1"/>
    </xf>
    <xf numFmtId="190" fontId="4" fillId="24" borderId="13" xfId="0" applyNumberFormat="1" applyFont="1" applyFill="1" applyBorder="1" applyAlignment="1">
      <alignment/>
    </xf>
    <xf numFmtId="190" fontId="4" fillId="24" borderId="11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 horizontal="right"/>
    </xf>
    <xf numFmtId="190" fontId="4" fillId="24" borderId="11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wrapText="1"/>
    </xf>
    <xf numFmtId="190" fontId="5" fillId="0" borderId="12" xfId="0" applyNumberFormat="1" applyFont="1" applyFill="1" applyBorder="1" applyAlignment="1">
      <alignment/>
    </xf>
    <xf numFmtId="190" fontId="5" fillId="0" borderId="10" xfId="0" applyNumberFormat="1" applyFont="1" applyFill="1" applyBorder="1" applyAlignment="1">
      <alignment/>
    </xf>
    <xf numFmtId="190" fontId="5" fillId="24" borderId="13" xfId="0" applyNumberFormat="1" applyFont="1" applyFill="1" applyBorder="1" applyAlignment="1">
      <alignment wrapText="1"/>
    </xf>
    <xf numFmtId="190" fontId="5" fillId="0" borderId="13" xfId="0" applyNumberFormat="1" applyFont="1" applyFill="1" applyBorder="1" applyAlignment="1">
      <alignment wrapText="1"/>
    </xf>
    <xf numFmtId="190" fontId="4" fillId="0" borderId="13" xfId="0" applyNumberFormat="1" applyFont="1" applyFill="1" applyBorder="1" applyAlignment="1">
      <alignment/>
    </xf>
    <xf numFmtId="190" fontId="4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horizontal="left" wrapText="1"/>
    </xf>
    <xf numFmtId="190" fontId="4" fillId="0" borderId="12" xfId="0" applyNumberFormat="1" applyFont="1" applyFill="1" applyBorder="1" applyAlignment="1">
      <alignment/>
    </xf>
    <xf numFmtId="190" fontId="4" fillId="0" borderId="10" xfId="0" applyNumberFormat="1" applyFont="1" applyFill="1" applyBorder="1" applyAlignment="1">
      <alignment/>
    </xf>
    <xf numFmtId="190" fontId="5" fillId="0" borderId="13" xfId="0" applyNumberFormat="1" applyFont="1" applyFill="1" applyBorder="1" applyAlignment="1">
      <alignment/>
    </xf>
    <xf numFmtId="190" fontId="5" fillId="0" borderId="11" xfId="0" applyNumberFormat="1" applyFont="1" applyFill="1" applyBorder="1" applyAlignment="1">
      <alignment/>
    </xf>
    <xf numFmtId="190" fontId="7" fillId="0" borderId="12" xfId="0" applyNumberFormat="1" applyFont="1" applyFill="1" applyBorder="1" applyAlignment="1">
      <alignment wrapText="1"/>
    </xf>
    <xf numFmtId="190" fontId="5" fillId="0" borderId="15" xfId="0" applyNumberFormat="1" applyFont="1" applyFill="1" applyBorder="1" applyAlignment="1">
      <alignment wrapText="1"/>
    </xf>
    <xf numFmtId="190" fontId="4" fillId="0" borderId="15" xfId="0" applyNumberFormat="1" applyFont="1" applyFill="1" applyBorder="1" applyAlignment="1">
      <alignment/>
    </xf>
    <xf numFmtId="190" fontId="4" fillId="0" borderId="14" xfId="0" applyNumberFormat="1" applyFont="1" applyFill="1" applyBorder="1" applyAlignment="1">
      <alignment/>
    </xf>
    <xf numFmtId="190" fontId="5" fillId="24" borderId="15" xfId="0" applyNumberFormat="1" applyFont="1" applyFill="1" applyBorder="1" applyAlignment="1">
      <alignment wrapText="1"/>
    </xf>
    <xf numFmtId="190" fontId="4" fillId="24" borderId="15" xfId="0" applyNumberFormat="1" applyFont="1" applyFill="1" applyBorder="1" applyAlignment="1">
      <alignment/>
    </xf>
    <xf numFmtId="190" fontId="4" fillId="24" borderId="14" xfId="0" applyNumberFormat="1" applyFont="1" applyFill="1" applyBorder="1" applyAlignment="1">
      <alignment/>
    </xf>
    <xf numFmtId="190" fontId="5" fillId="0" borderId="14" xfId="0" applyNumberFormat="1" applyFont="1" applyFill="1" applyBorder="1" applyAlignment="1">
      <alignment wrapText="1"/>
    </xf>
    <xf numFmtId="190" fontId="4" fillId="0" borderId="17" xfId="0" applyNumberFormat="1" applyFont="1" applyFill="1" applyBorder="1" applyAlignment="1">
      <alignment/>
    </xf>
    <xf numFmtId="190" fontId="5" fillId="0" borderId="10" xfId="0" applyNumberFormat="1" applyFont="1" applyFill="1" applyBorder="1" applyAlignment="1">
      <alignment wrapText="1"/>
    </xf>
    <xf numFmtId="190" fontId="3" fillId="0" borderId="10" xfId="0" applyNumberFormat="1" applyFont="1" applyFill="1" applyBorder="1" applyAlignment="1">
      <alignment wrapText="1"/>
    </xf>
    <xf numFmtId="190" fontId="3" fillId="0" borderId="17" xfId="0" applyNumberFormat="1" applyFont="1" applyFill="1" applyBorder="1" applyAlignment="1">
      <alignment/>
    </xf>
    <xf numFmtId="190" fontId="5" fillId="0" borderId="17" xfId="0" applyNumberFormat="1" applyFont="1" applyFill="1" applyBorder="1" applyAlignment="1">
      <alignment/>
    </xf>
    <xf numFmtId="190" fontId="5" fillId="0" borderId="16" xfId="0" applyNumberFormat="1" applyFont="1" applyFill="1" applyBorder="1" applyAlignment="1">
      <alignment/>
    </xf>
    <xf numFmtId="190" fontId="4" fillId="0" borderId="18" xfId="0" applyNumberFormat="1" applyFont="1" applyFill="1" applyBorder="1" applyAlignment="1">
      <alignment/>
    </xf>
    <xf numFmtId="190" fontId="5" fillId="24" borderId="11" xfId="0" applyNumberFormat="1" applyFont="1" applyFill="1" applyBorder="1" applyAlignment="1">
      <alignment/>
    </xf>
    <xf numFmtId="0" fontId="5" fillId="24" borderId="16" xfId="0" applyFont="1" applyFill="1" applyBorder="1" applyAlignment="1">
      <alignment wrapText="1"/>
    </xf>
    <xf numFmtId="190" fontId="4" fillId="24" borderId="16" xfId="0" applyNumberFormat="1" applyFont="1" applyFill="1" applyBorder="1" applyAlignment="1">
      <alignment/>
    </xf>
    <xf numFmtId="189" fontId="4" fillId="24" borderId="16" xfId="0" applyNumberFormat="1" applyFont="1" applyFill="1" applyBorder="1" applyAlignment="1">
      <alignment/>
    </xf>
    <xf numFmtId="189" fontId="3" fillId="0" borderId="14" xfId="0" applyNumberFormat="1" applyFont="1" applyFill="1" applyBorder="1" applyAlignment="1">
      <alignment/>
    </xf>
    <xf numFmtId="189" fontId="3" fillId="0" borderId="16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left" wrapText="1"/>
    </xf>
    <xf numFmtId="0" fontId="3" fillId="0" borderId="16" xfId="0" applyFont="1" applyFill="1" applyBorder="1" applyAlignment="1">
      <alignment wrapText="1"/>
    </xf>
    <xf numFmtId="190" fontId="3" fillId="0" borderId="14" xfId="0" applyNumberFormat="1" applyFont="1" applyFill="1" applyBorder="1" applyAlignment="1">
      <alignment/>
    </xf>
    <xf numFmtId="190" fontId="3" fillId="0" borderId="16" xfId="0" applyNumberFormat="1" applyFont="1" applyFill="1" applyBorder="1" applyAlignment="1">
      <alignment wrapText="1"/>
    </xf>
    <xf numFmtId="190" fontId="3" fillId="0" borderId="14" xfId="0" applyNumberFormat="1" applyFont="1" applyFill="1" applyBorder="1" applyAlignment="1">
      <alignment wrapText="1"/>
    </xf>
    <xf numFmtId="188" fontId="0" fillId="0" borderId="0" xfId="0" applyNumberFormat="1" applyFont="1" applyFill="1" applyBorder="1" applyAlignment="1">
      <alignment/>
    </xf>
    <xf numFmtId="191" fontId="12" fillId="0" borderId="0" xfId="0" applyNumberFormat="1" applyFont="1" applyFill="1" applyBorder="1" applyAlignment="1">
      <alignment/>
    </xf>
    <xf numFmtId="190" fontId="5" fillId="24" borderId="13" xfId="0" applyNumberFormat="1" applyFont="1" applyFill="1" applyBorder="1" applyAlignment="1">
      <alignment/>
    </xf>
    <xf numFmtId="189" fontId="3" fillId="0" borderId="10" xfId="0" applyNumberFormat="1" applyFont="1" applyFill="1" applyBorder="1" applyAlignment="1">
      <alignment horizontal="right"/>
    </xf>
    <xf numFmtId="190" fontId="13" fillId="0" borderId="12" xfId="0" applyNumberFormat="1" applyFont="1" applyFill="1" applyBorder="1" applyAlignment="1">
      <alignment/>
    </xf>
    <xf numFmtId="189" fontId="13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horizontal="left" wrapText="1" indent="4"/>
    </xf>
    <xf numFmtId="190" fontId="13" fillId="0" borderId="12" xfId="0" applyNumberFormat="1" applyFont="1" applyFill="1" applyBorder="1" applyAlignment="1">
      <alignment wrapText="1"/>
    </xf>
    <xf numFmtId="190" fontId="4" fillId="24" borderId="13" xfId="0" applyNumberFormat="1" applyFont="1" applyFill="1" applyBorder="1" applyAlignment="1">
      <alignment vertical="center" wrapText="1"/>
    </xf>
    <xf numFmtId="189" fontId="4" fillId="25" borderId="10" xfId="0" applyNumberFormat="1" applyFont="1" applyFill="1" applyBorder="1" applyAlignment="1">
      <alignment/>
    </xf>
    <xf numFmtId="0" fontId="0" fillId="0" borderId="0" xfId="52" applyFont="1" applyBorder="1" applyAlignment="1" applyProtection="1">
      <alignment vertical="center" wrapText="1"/>
      <protection/>
    </xf>
    <xf numFmtId="190" fontId="0" fillId="0" borderId="0" xfId="52" applyNumberFormat="1" applyFont="1" applyBorder="1" applyAlignment="1" applyProtection="1">
      <alignment vertical="center" wrapText="1"/>
      <protection/>
    </xf>
    <xf numFmtId="0" fontId="4" fillId="0" borderId="0" xfId="0" applyFont="1" applyFill="1" applyAlignment="1">
      <alignment/>
    </xf>
    <xf numFmtId="189" fontId="34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wrapText="1"/>
    </xf>
    <xf numFmtId="190" fontId="13" fillId="0" borderId="10" xfId="0" applyNumberFormat="1" applyFont="1" applyFill="1" applyBorder="1" applyAlignment="1">
      <alignment/>
    </xf>
    <xf numFmtId="189" fontId="4" fillId="24" borderId="14" xfId="0" applyNumberFormat="1" applyFont="1" applyFill="1" applyBorder="1" applyAlignment="1">
      <alignment/>
    </xf>
    <xf numFmtId="189" fontId="4" fillId="24" borderId="19" xfId="0" applyNumberFormat="1" applyFont="1" applyFill="1" applyBorder="1" applyAlignment="1">
      <alignment/>
    </xf>
    <xf numFmtId="0" fontId="5" fillId="24" borderId="20" xfId="0" applyFont="1" applyFill="1" applyBorder="1" applyAlignment="1">
      <alignment wrapText="1"/>
    </xf>
    <xf numFmtId="0" fontId="3" fillId="0" borderId="21" xfId="0" applyFont="1" applyFill="1" applyBorder="1" applyAlignment="1">
      <alignment wrapText="1"/>
    </xf>
    <xf numFmtId="189" fontId="4" fillId="24" borderId="15" xfId="0" applyNumberFormat="1" applyFont="1" applyFill="1" applyBorder="1" applyAlignment="1">
      <alignment/>
    </xf>
    <xf numFmtId="190" fontId="5" fillId="24" borderId="20" xfId="0" applyNumberFormat="1" applyFont="1" applyFill="1" applyBorder="1" applyAlignment="1">
      <alignment wrapText="1"/>
    </xf>
    <xf numFmtId="190" fontId="4" fillId="24" borderId="22" xfId="0" applyNumberFormat="1" applyFont="1" applyFill="1" applyBorder="1" applyAlignment="1">
      <alignment/>
    </xf>
    <xf numFmtId="190" fontId="4" fillId="24" borderId="19" xfId="0" applyNumberFormat="1" applyFont="1" applyFill="1" applyBorder="1" applyAlignment="1">
      <alignment horizontal="right"/>
    </xf>
    <xf numFmtId="190" fontId="3" fillId="0" borderId="21" xfId="0" applyNumberFormat="1" applyFont="1" applyFill="1" applyBorder="1" applyAlignment="1">
      <alignment wrapText="1"/>
    </xf>
    <xf numFmtId="190" fontId="3" fillId="0" borderId="23" xfId="0" applyNumberFormat="1" applyFont="1" applyFill="1" applyBorder="1" applyAlignment="1">
      <alignment horizontal="right"/>
    </xf>
    <xf numFmtId="190" fontId="3" fillId="0" borderId="24" xfId="0" applyNumberFormat="1" applyFont="1" applyFill="1" applyBorder="1" applyAlignment="1">
      <alignment/>
    </xf>
    <xf numFmtId="189" fontId="3" fillId="0" borderId="21" xfId="0" applyNumberFormat="1" applyFont="1" applyFill="1" applyBorder="1" applyAlignment="1">
      <alignment/>
    </xf>
    <xf numFmtId="189" fontId="3" fillId="0" borderId="25" xfId="0" applyNumberFormat="1" applyFont="1" applyFill="1" applyBorder="1" applyAlignment="1">
      <alignment/>
    </xf>
    <xf numFmtId="189" fontId="3" fillId="0" borderId="23" xfId="0" applyNumberFormat="1" applyFont="1" applyFill="1" applyBorder="1" applyAlignment="1">
      <alignment/>
    </xf>
    <xf numFmtId="189" fontId="3" fillId="25" borderId="10" xfId="0" applyNumberFormat="1" applyFont="1" applyFill="1" applyBorder="1" applyAlignment="1">
      <alignment/>
    </xf>
    <xf numFmtId="190" fontId="0" fillId="0" borderId="10" xfId="0" applyNumberFormat="1" applyFont="1" applyFill="1" applyBorder="1" applyAlignment="1">
      <alignment/>
    </xf>
    <xf numFmtId="190" fontId="4" fillId="24" borderId="19" xfId="0" applyNumberFormat="1" applyFont="1" applyFill="1" applyBorder="1" applyAlignment="1">
      <alignment/>
    </xf>
    <xf numFmtId="190" fontId="3" fillId="0" borderId="26" xfId="0" applyNumberFormat="1" applyFont="1" applyFill="1" applyBorder="1" applyAlignment="1">
      <alignment/>
    </xf>
    <xf numFmtId="190" fontId="3" fillId="0" borderId="16" xfId="0" applyNumberFormat="1" applyFont="1" applyFill="1" applyBorder="1" applyAlignment="1">
      <alignment/>
    </xf>
    <xf numFmtId="189" fontId="35" fillId="0" borderId="10" xfId="0" applyNumberFormat="1" applyFont="1" applyFill="1" applyBorder="1" applyAlignment="1">
      <alignment/>
    </xf>
    <xf numFmtId="0" fontId="5" fillId="0" borderId="18" xfId="0" applyFont="1" applyFill="1" applyBorder="1" applyAlignment="1">
      <alignment wrapText="1"/>
    </xf>
    <xf numFmtId="190" fontId="4" fillId="0" borderId="16" xfId="0" applyNumberFormat="1" applyFont="1" applyFill="1" applyBorder="1" applyAlignment="1">
      <alignment/>
    </xf>
    <xf numFmtId="189" fontId="35" fillId="25" borderId="10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ZV1PIV98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2">
    <dxf>
      <font>
        <color indexed="10"/>
      </font>
    </dxf>
    <dxf>
      <fill>
        <patternFill patternType="solid">
          <bgColor indexed="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Апарат управлінння</a:t>
            </a:r>
          </a:p>
        </c:rich>
      </c:tx>
      <c:layout>
        <c:manualLayout>
          <c:xMode val="factor"/>
          <c:yMode val="factor"/>
          <c:x val="0.00975"/>
          <c:y val="-0.00725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13125"/>
          <c:y val="0.1435"/>
          <c:w val="0.858"/>
          <c:h val="0.623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фінансування'!$A$90:$A$94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фінансування'!$C$90:$C$94</c:f>
              <c:numCache>
                <c:ptCount val="4"/>
                <c:pt idx="0">
                  <c:v>157960</c:v>
                </c:pt>
                <c:pt idx="1">
                  <c:v>148246.2</c:v>
                </c:pt>
                <c:pt idx="2">
                  <c:v>2620.6</c:v>
                </c:pt>
                <c:pt idx="3">
                  <c:v>7093.199999999988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фінансування'!$A$90:$A$94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фінансування'!$D$90:$D$94</c:f>
              <c:numCache>
                <c:ptCount val="4"/>
                <c:pt idx="0">
                  <c:v>6170.700000000001</c:v>
                </c:pt>
                <c:pt idx="1">
                  <c:v>5941.1</c:v>
                </c:pt>
                <c:pt idx="2">
                  <c:v>48.5</c:v>
                </c:pt>
                <c:pt idx="3">
                  <c:v>181.10000000000036</c:v>
                </c:pt>
              </c:numCache>
            </c:numRef>
          </c:val>
          <c:shape val="box"/>
        </c:ser>
        <c:shape val="box"/>
        <c:axId val="60394266"/>
        <c:axId val="6677483"/>
      </c:bar3DChart>
      <c:catAx>
        <c:axId val="603942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677483"/>
        <c:crosses val="autoZero"/>
        <c:auto val="1"/>
        <c:lblOffset val="100"/>
        <c:tickLblSkip val="1"/>
        <c:noMultiLvlLbl val="0"/>
      </c:catAx>
      <c:valAx>
        <c:axId val="667748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39426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25"/>
          <c:y val="0.92875"/>
          <c:w val="0.295"/>
          <c:h val="0.06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Освіта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4575"/>
          <c:y val="0.14975"/>
          <c:w val="0.8435"/>
          <c:h val="0.664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фінансування'!$C$6:$C$13</c:f>
              <c:numCache>
                <c:ptCount val="8"/>
                <c:pt idx="0">
                  <c:v>625404.8999999999</c:v>
                </c:pt>
                <c:pt idx="1">
                  <c:v>243334.5</c:v>
                </c:pt>
                <c:pt idx="2">
                  <c:v>487818.8</c:v>
                </c:pt>
                <c:pt idx="3">
                  <c:v>92.5</c:v>
                </c:pt>
                <c:pt idx="4">
                  <c:v>27461.5</c:v>
                </c:pt>
                <c:pt idx="5">
                  <c:v>80900.5</c:v>
                </c:pt>
                <c:pt idx="6">
                  <c:v>14045.4</c:v>
                </c:pt>
                <c:pt idx="7">
                  <c:v>15086.199999999919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фінансування'!$D$6:$D$13</c:f>
              <c:numCache>
                <c:ptCount val="8"/>
                <c:pt idx="0">
                  <c:v>39664.3</c:v>
                </c:pt>
                <c:pt idx="1">
                  <c:v>17971.3</c:v>
                </c:pt>
                <c:pt idx="2">
                  <c:v>36966.7</c:v>
                </c:pt>
                <c:pt idx="4">
                  <c:v>1082.8</c:v>
                </c:pt>
                <c:pt idx="5">
                  <c:v>534</c:v>
                </c:pt>
                <c:pt idx="6">
                  <c:v>1047.4</c:v>
                </c:pt>
                <c:pt idx="7">
                  <c:v>33.400000000005775</c:v>
                </c:pt>
              </c:numCache>
            </c:numRef>
          </c:val>
          <c:shape val="box"/>
        </c:ser>
        <c:shape val="box"/>
        <c:axId val="60097348"/>
        <c:axId val="4005221"/>
      </c:bar3DChart>
      <c:catAx>
        <c:axId val="600973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005221"/>
        <c:crosses val="autoZero"/>
        <c:auto val="1"/>
        <c:lblOffset val="100"/>
        <c:tickLblSkip val="1"/>
        <c:noMultiLvlLbl val="0"/>
      </c:catAx>
      <c:valAx>
        <c:axId val="400522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09734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485"/>
          <c:y val="0.921"/>
          <c:w val="0.303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Охорона здоров'я</a:t>
            </a:r>
          </a:p>
        </c:rich>
      </c:tx>
      <c:layout>
        <c:manualLayout>
          <c:xMode val="factor"/>
          <c:yMode val="factor"/>
          <c:x val="-0.01675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6125"/>
          <c:y val="0.14875"/>
          <c:w val="0.9295"/>
          <c:h val="0.663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3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інші</c:v>
                </c:pt>
              </c:strCache>
            </c:strRef>
          </c:cat>
          <c:val>
            <c:numRef>
              <c:f>'аналіз фінансування'!$C$18:$C$25</c:f>
              <c:numCache>
                <c:ptCount val="3"/>
                <c:pt idx="0">
                  <c:v>329127.1</c:v>
                </c:pt>
                <c:pt idx="1">
                  <c:v>238249.5</c:v>
                </c:pt>
                <c:pt idx="2">
                  <c:v>329127.1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3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інші</c:v>
                </c:pt>
              </c:strCache>
            </c:strRef>
          </c:cat>
          <c:val>
            <c:numRef>
              <c:f>'аналіз фінансування'!$D$18:$D$25</c:f>
              <c:numCache>
                <c:ptCount val="3"/>
                <c:pt idx="0">
                  <c:v>24373.2</c:v>
                </c:pt>
                <c:pt idx="1">
                  <c:v>16471.199999999997</c:v>
                </c:pt>
                <c:pt idx="2">
                  <c:v>24373.2</c:v>
                </c:pt>
              </c:numCache>
            </c:numRef>
          </c:val>
          <c:shape val="box"/>
        </c:ser>
        <c:shape val="box"/>
        <c:axId val="36046990"/>
        <c:axId val="55987455"/>
      </c:bar3DChart>
      <c:catAx>
        <c:axId val="360469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5987455"/>
        <c:crosses val="autoZero"/>
        <c:auto val="1"/>
        <c:lblOffset val="100"/>
        <c:tickLblSkip val="1"/>
        <c:noMultiLvlLbl val="0"/>
      </c:catAx>
      <c:valAx>
        <c:axId val="5598745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04699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6475"/>
          <c:y val="0.9215"/>
          <c:w val="0.2695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Культура і мистецтво</a:t>
            </a:r>
          </a:p>
        </c:rich>
      </c:tx>
      <c:layout>
        <c:manualLayout>
          <c:xMode val="factor"/>
          <c:yMode val="factor"/>
          <c:x val="-0.005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75"/>
          <c:y val="0.15025"/>
          <c:w val="0.87025"/>
          <c:h val="0.593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фінансування'!$C$33:$C$39</c:f>
              <c:numCache>
                <c:ptCount val="6"/>
                <c:pt idx="0">
                  <c:v>67303.3</c:v>
                </c:pt>
                <c:pt idx="1">
                  <c:v>55535.9</c:v>
                </c:pt>
                <c:pt idx="2">
                  <c:v>2945.3</c:v>
                </c:pt>
                <c:pt idx="3">
                  <c:v>856.1</c:v>
                </c:pt>
                <c:pt idx="4">
                  <c:v>80.8</c:v>
                </c:pt>
                <c:pt idx="5">
                  <c:v>7885.200000000002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фінансування'!$D$33:$D$39</c:f>
              <c:numCache>
                <c:ptCount val="6"/>
                <c:pt idx="0">
                  <c:v>3914.2000000000003</c:v>
                </c:pt>
                <c:pt idx="1">
                  <c:v>3576.9</c:v>
                </c:pt>
                <c:pt idx="2">
                  <c:v>6.6000000000000005</c:v>
                </c:pt>
                <c:pt idx="5">
                  <c:v>330.70000000000016</c:v>
                </c:pt>
              </c:numCache>
            </c:numRef>
          </c:val>
          <c:shape val="box"/>
        </c:ser>
        <c:shape val="box"/>
        <c:axId val="34125048"/>
        <c:axId val="38689977"/>
      </c:bar3DChart>
      <c:catAx>
        <c:axId val="341250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8689977"/>
        <c:crosses val="autoZero"/>
        <c:auto val="1"/>
        <c:lblOffset val="100"/>
        <c:tickLblSkip val="1"/>
        <c:noMultiLvlLbl val="0"/>
      </c:catAx>
      <c:valAx>
        <c:axId val="3868997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12504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725"/>
          <c:y val="0.92075"/>
          <c:w val="0.2855"/>
          <c:h val="0.0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Фізична культура і спорт</a:t>
            </a:r>
          </a:p>
        </c:rich>
      </c:tx>
      <c:layout>
        <c:manualLayout>
          <c:xMode val="factor"/>
          <c:yMode val="factor"/>
          <c:x val="0.06525"/>
          <c:y val="0.033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"/>
          <c:y val="0.1485"/>
          <c:w val="0.86375"/>
          <c:h val="0.639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фінансування'!$A$51:$A$57</c:f>
              <c:strCache>
                <c:ptCount val="7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фінансування'!$C$51:$C$57</c:f>
              <c:numCache>
                <c:ptCount val="7"/>
                <c:pt idx="0">
                  <c:v>23558.7</c:v>
                </c:pt>
                <c:pt idx="1">
                  <c:v>16189.8</c:v>
                </c:pt>
                <c:pt idx="2">
                  <c:v>13</c:v>
                </c:pt>
                <c:pt idx="3">
                  <c:v>810.2</c:v>
                </c:pt>
                <c:pt idx="4">
                  <c:v>1048.5</c:v>
                </c:pt>
                <c:pt idx="5">
                  <c:v>518.9</c:v>
                </c:pt>
                <c:pt idx="6">
                  <c:v>4978.300000000002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фінансування'!$A$51:$A$57</c:f>
              <c:strCache>
                <c:ptCount val="7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фінансування'!$D$51:$D$57</c:f>
              <c:numCache>
                <c:ptCount val="7"/>
                <c:pt idx="0">
                  <c:v>1450.1000000000001</c:v>
                </c:pt>
                <c:pt idx="1">
                  <c:v>1131.1999999999998</c:v>
                </c:pt>
                <c:pt idx="6">
                  <c:v>318.9000000000003</c:v>
                </c:pt>
              </c:numCache>
            </c:numRef>
          </c:val>
          <c:shape val="box"/>
        </c:ser>
        <c:shape val="box"/>
        <c:axId val="12665474"/>
        <c:axId val="46880403"/>
      </c:bar3DChart>
      <c:catAx>
        <c:axId val="126654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6880403"/>
        <c:crosses val="autoZero"/>
        <c:auto val="1"/>
        <c:lblOffset val="100"/>
        <c:tickLblSkip val="2"/>
        <c:noMultiLvlLbl val="0"/>
      </c:catAx>
      <c:valAx>
        <c:axId val="4688040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66547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4"/>
          <c:y val="0.9215"/>
          <c:w val="0.293"/>
          <c:h val="0.07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Молодіжні програми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1325"/>
          <c:y val="0.14625"/>
          <c:w val="0.8775"/>
          <c:h val="0.657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фінансування'!$A$59:$A$64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фінансування'!$C$59:$C$64</c:f>
              <c:numCache>
                <c:ptCount val="6"/>
                <c:pt idx="0">
                  <c:v>7844.6</c:v>
                </c:pt>
                <c:pt idx="1">
                  <c:v>2900.3</c:v>
                </c:pt>
                <c:pt idx="2">
                  <c:v>337.1</c:v>
                </c:pt>
                <c:pt idx="3">
                  <c:v>451.8</c:v>
                </c:pt>
                <c:pt idx="4">
                  <c:v>3707.1</c:v>
                </c:pt>
                <c:pt idx="5">
                  <c:v>448.30000000000007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фінансування'!$A$59:$A$64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фінансування'!$D$59:$D$64</c:f>
              <c:numCache>
                <c:ptCount val="6"/>
                <c:pt idx="0">
                  <c:v>201.9</c:v>
                </c:pt>
                <c:pt idx="1">
                  <c:v>201.7</c:v>
                </c:pt>
                <c:pt idx="5">
                  <c:v>0.20000000000001705</c:v>
                </c:pt>
              </c:numCache>
            </c:numRef>
          </c:val>
          <c:shape val="box"/>
        </c:ser>
        <c:shape val="box"/>
        <c:axId val="19270444"/>
        <c:axId val="39216269"/>
      </c:bar3DChart>
      <c:catAx>
        <c:axId val="192704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9216269"/>
        <c:crosses val="autoZero"/>
        <c:auto val="1"/>
        <c:lblOffset val="100"/>
        <c:tickLblSkip val="1"/>
        <c:noMultiLvlLbl val="0"/>
      </c:catAx>
      <c:valAx>
        <c:axId val="3921626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27044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1225"/>
          <c:y val="0.92275"/>
          <c:w val="0.29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ЖКГ</a:t>
            </a:r>
          </a:p>
        </c:rich>
      </c:tx>
      <c:layout>
        <c:manualLayout>
          <c:xMode val="factor"/>
          <c:yMode val="factor"/>
          <c:x val="-0.00875"/>
          <c:y val="-0.012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1305"/>
          <c:y val="0.14325"/>
          <c:w val="0.85725"/>
          <c:h val="0.674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фінансування'!$A$95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фінансування'!$C$95</c:f>
              <c:numCache>
                <c:ptCount val="1"/>
                <c:pt idx="0">
                  <c:v>59880.5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фінансування'!$A$95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фінансування'!$D$95</c:f>
              <c:numCache>
                <c:ptCount val="1"/>
                <c:pt idx="0">
                  <c:v>3788.8999999999996</c:v>
                </c:pt>
              </c:numCache>
            </c:numRef>
          </c:val>
          <c:shape val="box"/>
        </c:ser>
        <c:shape val="box"/>
        <c:axId val="17402102"/>
        <c:axId val="22401191"/>
      </c:bar3DChart>
      <c:catAx>
        <c:axId val="174021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22401191"/>
        <c:crosses val="autoZero"/>
        <c:auto val="1"/>
        <c:lblOffset val="100"/>
        <c:tickLblSkip val="1"/>
        <c:noMultiLvlLbl val="0"/>
      </c:catAx>
      <c:valAx>
        <c:axId val="2240119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40210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1"/>
          <c:y val="0.9255"/>
          <c:w val="0.29675"/>
          <c:h val="0.06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галузі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view3D>
      <c:rotX val="31"/>
      <c:hPercent val="36"/>
      <c:rotY val="44"/>
      <c:depthPercent val="100"/>
      <c:rAngAx val="1"/>
    </c:view3D>
    <c:plotArea>
      <c:layout>
        <c:manualLayout>
          <c:xMode val="edge"/>
          <c:yMode val="edge"/>
          <c:x val="0.13875"/>
          <c:y val="0.162"/>
          <c:w val="0.851"/>
          <c:h val="0.59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фінансування'!$A$59,'аналіз фінансування'!$A$90,'аналіз фінансування'!$A$95)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фінансування'!$C$6,'аналіз фінансування'!$C$18,'аналіз фінансування'!$C$33,'аналіз фінансування'!$C$51,'аналіз фінансування'!$C$59,'аналіз фінансування'!$C$90,'аналіз фінансування'!$C$95)</c:f>
              <c:numCache>
                <c:ptCount val="7"/>
                <c:pt idx="0">
                  <c:v>625404.8999999999</c:v>
                </c:pt>
                <c:pt idx="1">
                  <c:v>329127.1</c:v>
                </c:pt>
                <c:pt idx="2">
                  <c:v>67303.3</c:v>
                </c:pt>
                <c:pt idx="3">
                  <c:v>23558.7</c:v>
                </c:pt>
                <c:pt idx="4">
                  <c:v>7844.6</c:v>
                </c:pt>
                <c:pt idx="5">
                  <c:v>157960</c:v>
                </c:pt>
                <c:pt idx="6">
                  <c:v>59880.5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фінансування'!$A$59,'аналіз фінансування'!$A$90,'аналіз фінансування'!$A$95)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фінансування'!$D$6,'аналіз фінансування'!$D$18,'аналіз фінансування'!$D$33,'аналіз фінансування'!$D$51,'аналіз фінансування'!$D$59,'аналіз фінансування'!$D$90,'аналіз фінансування'!$D$95)</c:f>
              <c:numCache>
                <c:ptCount val="7"/>
                <c:pt idx="0">
                  <c:v>39664.3</c:v>
                </c:pt>
                <c:pt idx="1">
                  <c:v>24373.2</c:v>
                </c:pt>
                <c:pt idx="2">
                  <c:v>3914.2000000000003</c:v>
                </c:pt>
                <c:pt idx="3">
                  <c:v>1450.1000000000001</c:v>
                </c:pt>
                <c:pt idx="4">
                  <c:v>201.9</c:v>
                </c:pt>
                <c:pt idx="5">
                  <c:v>6170.700000000001</c:v>
                </c:pt>
                <c:pt idx="6">
                  <c:v>3788.8999999999996</c:v>
                </c:pt>
              </c:numCache>
            </c:numRef>
          </c:val>
          <c:shape val="box"/>
        </c:ser>
        <c:shape val="box"/>
        <c:axId val="284128"/>
        <c:axId val="2557153"/>
      </c:bar3DChart>
      <c:catAx>
        <c:axId val="2841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557153"/>
        <c:crosses val="autoZero"/>
        <c:auto val="1"/>
        <c:lblOffset val="100"/>
        <c:tickLblSkip val="1"/>
        <c:noMultiLvlLbl val="0"/>
      </c:catAx>
      <c:valAx>
        <c:axId val="255715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412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7"/>
          <c:y val="0.89125"/>
          <c:w val="0.29125"/>
          <c:h val="0.08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Видатки за економічною класифікацією</a:t>
            </a:r>
          </a:p>
        </c:rich>
      </c:tx>
      <c:layout>
        <c:manualLayout>
          <c:xMode val="factor"/>
          <c:yMode val="factor"/>
          <c:x val="0.034"/>
          <c:y val="-0.0017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1475"/>
          <c:y val="0.14325"/>
          <c:w val="0.84125"/>
          <c:h val="0.660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фінансування'!$A$151:$A$156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фінансування'!$C$151:$C$156</c:f>
              <c:numCache>
                <c:ptCount val="6"/>
                <c:pt idx="0">
                  <c:v>722894.7</c:v>
                </c:pt>
                <c:pt idx="1">
                  <c:v>102469.50000000003</c:v>
                </c:pt>
                <c:pt idx="2">
                  <c:v>28682.2</c:v>
                </c:pt>
                <c:pt idx="3">
                  <c:v>29532.599999999995</c:v>
                </c:pt>
                <c:pt idx="4">
                  <c:v>186.9</c:v>
                </c:pt>
                <c:pt idx="5">
                  <c:v>955547.2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фінансування'!$A$151:$A$156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фінансування'!$D$151:$D$156</c:f>
              <c:numCache>
                <c:ptCount val="6"/>
                <c:pt idx="0">
                  <c:v>48647.399999999994</c:v>
                </c:pt>
                <c:pt idx="1">
                  <c:v>665.2</c:v>
                </c:pt>
                <c:pt idx="2">
                  <c:v>1082.8</c:v>
                </c:pt>
                <c:pt idx="3">
                  <c:v>1414.3000000000002</c:v>
                </c:pt>
                <c:pt idx="4">
                  <c:v>0</c:v>
                </c:pt>
                <c:pt idx="5">
                  <c:v>51487.3</c:v>
                </c:pt>
              </c:numCache>
            </c:numRef>
          </c:val>
          <c:shape val="box"/>
        </c:ser>
        <c:shape val="box"/>
        <c:axId val="23014378"/>
        <c:axId val="5802811"/>
      </c:bar3DChart>
      <c:catAx>
        <c:axId val="230143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802811"/>
        <c:crosses val="autoZero"/>
        <c:auto val="1"/>
        <c:lblOffset val="100"/>
        <c:tickLblSkip val="1"/>
        <c:noMultiLvlLbl val="0"/>
      </c:catAx>
      <c:valAx>
        <c:axId val="580281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01437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25"/>
          <c:y val="0.9125"/>
          <c:w val="0.297"/>
          <c:h val="0.0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342900</xdr:colOff>
      <xdr:row>33</xdr:row>
      <xdr:rowOff>85725</xdr:rowOff>
    </xdr:to>
    <xdr:graphicFrame>
      <xdr:nvGraphicFramePr>
        <xdr:cNvPr id="1" name="Диаграмма 1"/>
        <xdr:cNvGraphicFramePr/>
      </xdr:nvGraphicFramePr>
      <xdr:xfrm>
        <a:off x="0" y="0"/>
        <a:ext cx="99441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28575</xdr:rowOff>
    </xdr:from>
    <xdr:to>
      <xdr:col>14</xdr:col>
      <xdr:colOff>523875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161925" y="28575"/>
        <a:ext cx="9963150" cy="5276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66675</xdr:rowOff>
    </xdr:from>
    <xdr:to>
      <xdr:col>16</xdr:col>
      <xdr:colOff>657225</xdr:colOff>
      <xdr:row>33</xdr:row>
      <xdr:rowOff>142875</xdr:rowOff>
    </xdr:to>
    <xdr:graphicFrame>
      <xdr:nvGraphicFramePr>
        <xdr:cNvPr id="1" name="Диаграмма 1"/>
        <xdr:cNvGraphicFramePr/>
      </xdr:nvGraphicFramePr>
      <xdr:xfrm>
        <a:off x="47625" y="66675"/>
        <a:ext cx="11582400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15</xdr:col>
      <xdr:colOff>428625</xdr:colOff>
      <xdr:row>32</xdr:row>
      <xdr:rowOff>152400</xdr:rowOff>
    </xdr:to>
    <xdr:graphicFrame>
      <xdr:nvGraphicFramePr>
        <xdr:cNvPr id="1" name="Диаграмма 1"/>
        <xdr:cNvGraphicFramePr/>
      </xdr:nvGraphicFramePr>
      <xdr:xfrm>
        <a:off x="152400" y="85725"/>
        <a:ext cx="105632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28575</xdr:rowOff>
    </xdr:from>
    <xdr:to>
      <xdr:col>15</xdr:col>
      <xdr:colOff>85725</xdr:colOff>
      <xdr:row>32</xdr:row>
      <xdr:rowOff>142875</xdr:rowOff>
    </xdr:to>
    <xdr:graphicFrame>
      <xdr:nvGraphicFramePr>
        <xdr:cNvPr id="1" name="Диаграмма 1"/>
        <xdr:cNvGraphicFramePr/>
      </xdr:nvGraphicFramePr>
      <xdr:xfrm>
        <a:off x="76200" y="28575"/>
        <a:ext cx="10296525" cy="5295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38100</xdr:rowOff>
    </xdr:from>
    <xdr:to>
      <xdr:col>14</xdr:col>
      <xdr:colOff>676275</xdr:colOff>
      <xdr:row>32</xdr:row>
      <xdr:rowOff>114300</xdr:rowOff>
    </xdr:to>
    <xdr:graphicFrame>
      <xdr:nvGraphicFramePr>
        <xdr:cNvPr id="1" name="Диаграмма 1"/>
        <xdr:cNvGraphicFramePr/>
      </xdr:nvGraphicFramePr>
      <xdr:xfrm>
        <a:off x="47625" y="38100"/>
        <a:ext cx="10229850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581025</xdr:colOff>
      <xdr:row>4</xdr:row>
      <xdr:rowOff>28575</xdr:rowOff>
    </xdr:from>
    <xdr:to>
      <xdr:col>14</xdr:col>
      <xdr:colOff>342900</xdr:colOff>
      <xdr:row>33</xdr:row>
      <xdr:rowOff>152400</xdr:rowOff>
    </xdr:to>
    <xdr:graphicFrame>
      <xdr:nvGraphicFramePr>
        <xdr:cNvPr id="1" name="Диаграмма 4"/>
        <xdr:cNvGraphicFramePr/>
      </xdr:nvGraphicFramePr>
      <xdr:xfrm>
        <a:off x="1266825" y="676275"/>
        <a:ext cx="8620125" cy="4819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9525</xdr:rowOff>
    </xdr:from>
    <xdr:to>
      <xdr:col>14</xdr:col>
      <xdr:colOff>495300</xdr:colOff>
      <xdr:row>30</xdr:row>
      <xdr:rowOff>114300</xdr:rowOff>
    </xdr:to>
    <xdr:graphicFrame>
      <xdr:nvGraphicFramePr>
        <xdr:cNvPr id="1" name="Диаграмма 2"/>
        <xdr:cNvGraphicFramePr/>
      </xdr:nvGraphicFramePr>
      <xdr:xfrm>
        <a:off x="66675" y="409575"/>
        <a:ext cx="10382250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180975</xdr:rowOff>
    </xdr:from>
    <xdr:to>
      <xdr:col>15</xdr:col>
      <xdr:colOff>47625</xdr:colOff>
      <xdr:row>34</xdr:row>
      <xdr:rowOff>114300</xdr:rowOff>
    </xdr:to>
    <xdr:graphicFrame>
      <xdr:nvGraphicFramePr>
        <xdr:cNvPr id="1" name="Диаграмма 1"/>
        <xdr:cNvGraphicFramePr/>
      </xdr:nvGraphicFramePr>
      <xdr:xfrm>
        <a:off x="0" y="381000"/>
        <a:ext cx="10544175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95"/>
  <sheetViews>
    <sheetView tabSelected="1" zoomScale="80" zoomScaleNormal="8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3" sqref="A3:A5"/>
    </sheetView>
  </sheetViews>
  <sheetFormatPr defaultColWidth="9.00390625" defaultRowHeight="12.75"/>
  <cols>
    <col min="1" max="1" width="66.875" style="29" customWidth="1"/>
    <col min="2" max="2" width="19.00390625" style="29" customWidth="1"/>
    <col min="3" max="3" width="18.625" style="11" customWidth="1"/>
    <col min="4" max="4" width="19.00390625" style="11" customWidth="1"/>
    <col min="5" max="5" width="17.25390625" style="11" customWidth="1"/>
    <col min="6" max="6" width="19.375" style="11" customWidth="1"/>
    <col min="7" max="7" width="19.625" style="11" customWidth="1"/>
    <col min="8" max="8" width="19.75390625" style="11" customWidth="1"/>
    <col min="9" max="9" width="21.00390625" style="11" customWidth="1"/>
    <col min="10" max="10" width="9.125" style="11" customWidth="1"/>
    <col min="11" max="11" width="21.125" style="11" bestFit="1" customWidth="1"/>
    <col min="12" max="12" width="31.375" style="11" bestFit="1" customWidth="1"/>
    <col min="13" max="16384" width="9.125" style="11" customWidth="1"/>
  </cols>
  <sheetData>
    <row r="1" spans="1:9" ht="30">
      <c r="A1" s="129" t="s">
        <v>111</v>
      </c>
      <c r="B1" s="129"/>
      <c r="C1" s="129"/>
      <c r="D1" s="129"/>
      <c r="E1" s="129"/>
      <c r="F1" s="129"/>
      <c r="G1" s="129"/>
      <c r="H1" s="129"/>
      <c r="I1" s="129"/>
    </row>
    <row r="2" spans="1:8" ht="9.75" customHeight="1" thickBot="1">
      <c r="A2" s="21"/>
      <c r="B2" s="21"/>
      <c r="C2" s="10"/>
      <c r="D2" s="10"/>
      <c r="E2" s="10"/>
      <c r="F2" s="10"/>
      <c r="G2" s="10"/>
      <c r="H2" s="10"/>
    </row>
    <row r="3" spans="1:9" ht="29.25" customHeight="1">
      <c r="A3" s="133" t="s">
        <v>41</v>
      </c>
      <c r="B3" s="130" t="s">
        <v>108</v>
      </c>
      <c r="C3" s="130" t="s">
        <v>92</v>
      </c>
      <c r="D3" s="130" t="s">
        <v>23</v>
      </c>
      <c r="E3" s="130" t="s">
        <v>22</v>
      </c>
      <c r="F3" s="130" t="s">
        <v>109</v>
      </c>
      <c r="G3" s="130" t="s">
        <v>94</v>
      </c>
      <c r="H3" s="130" t="s">
        <v>110</v>
      </c>
      <c r="I3" s="130" t="s">
        <v>93</v>
      </c>
    </row>
    <row r="4" spans="1:9" ht="24.75" customHeight="1">
      <c r="A4" s="134"/>
      <c r="B4" s="131"/>
      <c r="C4" s="131"/>
      <c r="D4" s="131"/>
      <c r="E4" s="131"/>
      <c r="F4" s="131"/>
      <c r="G4" s="131"/>
      <c r="H4" s="131"/>
      <c r="I4" s="131"/>
    </row>
    <row r="5" spans="1:9" ht="39" customHeight="1" thickBot="1">
      <c r="A5" s="135"/>
      <c r="B5" s="132"/>
      <c r="C5" s="132"/>
      <c r="D5" s="132"/>
      <c r="E5" s="132"/>
      <c r="F5" s="132"/>
      <c r="G5" s="132"/>
      <c r="H5" s="132"/>
      <c r="I5" s="132"/>
    </row>
    <row r="6" spans="1:9" ht="18.75" thickBot="1">
      <c r="A6" s="22" t="s">
        <v>27</v>
      </c>
      <c r="B6" s="45">
        <v>121064.5</v>
      </c>
      <c r="C6" s="46">
        <f>625865.1-190.4-316.9+47.1</f>
        <v>625404.8999999999</v>
      </c>
      <c r="D6" s="47">
        <f>13522.8+199.8+351+3.4+1.2+14658+9356.3+1168.4+403.4+43.4+23</f>
        <v>39730.700000000004</v>
      </c>
      <c r="E6" s="3">
        <f>D6/D150*100</f>
        <v>38.36968876965169</v>
      </c>
      <c r="F6" s="3">
        <f>D6/B6*100</f>
        <v>32.817795472661274</v>
      </c>
      <c r="G6" s="3">
        <f aca="true" t="shared" si="0" ref="G6:G43">D6/C6*100</f>
        <v>6.352796404377389</v>
      </c>
      <c r="H6" s="47">
        <f>B6-D6</f>
        <v>81333.79999999999</v>
      </c>
      <c r="I6" s="47">
        <f aca="true" t="shared" si="1" ref="I6:I43">C6-D6</f>
        <v>585674.2</v>
      </c>
    </row>
    <row r="7" spans="1:9" s="37" customFormat="1" ht="18.75">
      <c r="A7" s="104" t="s">
        <v>83</v>
      </c>
      <c r="B7" s="97">
        <v>40594.7</v>
      </c>
      <c r="C7" s="94">
        <f>243287.4+47.1</f>
        <v>243334.5</v>
      </c>
      <c r="D7" s="105">
        <f>6699.4+11261.7+10.2</f>
        <v>17971.3</v>
      </c>
      <c r="E7" s="95">
        <f>D7/D6*100</f>
        <v>45.232779689257924</v>
      </c>
      <c r="F7" s="95">
        <f>D7/B7*100</f>
        <v>44.27006481141627</v>
      </c>
      <c r="G7" s="95">
        <f>D7/C7*100</f>
        <v>7.385430343827118</v>
      </c>
      <c r="H7" s="105">
        <f>B7-D7</f>
        <v>22623.399999999998</v>
      </c>
      <c r="I7" s="105">
        <f t="shared" si="1"/>
        <v>225363.2</v>
      </c>
    </row>
    <row r="8" spans="1:9" ht="18">
      <c r="A8" s="23" t="s">
        <v>3</v>
      </c>
      <c r="B8" s="42">
        <v>82016.2</v>
      </c>
      <c r="C8" s="43">
        <f>487771.7+47.1</f>
        <v>487818.8</v>
      </c>
      <c r="D8" s="44">
        <f>12945+14658+9353.4+10.2+0.1</f>
        <v>36966.7</v>
      </c>
      <c r="E8" s="1">
        <f>D8/D6*100</f>
        <v>93.04316309554072</v>
      </c>
      <c r="F8" s="1">
        <f>D8/B8*100</f>
        <v>45.07243690880582</v>
      </c>
      <c r="G8" s="1">
        <f t="shared" si="0"/>
        <v>7.577957225100795</v>
      </c>
      <c r="H8" s="44">
        <f>B8-D8</f>
        <v>45049.5</v>
      </c>
      <c r="I8" s="44">
        <f t="shared" si="1"/>
        <v>450852.1</v>
      </c>
    </row>
    <row r="9" spans="1:9" ht="18">
      <c r="A9" s="23" t="s">
        <v>2</v>
      </c>
      <c r="B9" s="42">
        <v>5.5</v>
      </c>
      <c r="C9" s="43">
        <v>92.5</v>
      </c>
      <c r="D9" s="44"/>
      <c r="E9" s="12">
        <f>D9/D6*100</f>
        <v>0</v>
      </c>
      <c r="F9" s="120">
        <f>D9/B9*100</f>
        <v>0</v>
      </c>
      <c r="G9" s="1">
        <f t="shared" si="0"/>
        <v>0</v>
      </c>
      <c r="H9" s="44">
        <f aca="true" t="shared" si="2" ref="H9:H43">B9-D9</f>
        <v>5.5</v>
      </c>
      <c r="I9" s="44">
        <f t="shared" si="1"/>
        <v>92.5</v>
      </c>
    </row>
    <row r="10" spans="1:9" ht="18">
      <c r="A10" s="23" t="s">
        <v>1</v>
      </c>
      <c r="B10" s="42">
        <v>5324.9</v>
      </c>
      <c r="C10" s="43">
        <f>27822.4-190.4-170.5</f>
        <v>27461.5</v>
      </c>
      <c r="D10" s="48">
        <f>577.8+199.8+74.7+2.9+214.2+13.4+43.4+23</f>
        <v>1149.2</v>
      </c>
      <c r="E10" s="1">
        <f>D10/D6*100</f>
        <v>2.892473578366351</v>
      </c>
      <c r="F10" s="1">
        <f aca="true" t="shared" si="3" ref="F10:F41">D10/B10*100</f>
        <v>21.58162594602716</v>
      </c>
      <c r="G10" s="1">
        <f t="shared" si="0"/>
        <v>4.184767765781185</v>
      </c>
      <c r="H10" s="44">
        <f t="shared" si="2"/>
        <v>4175.7</v>
      </c>
      <c r="I10" s="44">
        <f t="shared" si="1"/>
        <v>26312.3</v>
      </c>
    </row>
    <row r="11" spans="1:9" ht="18">
      <c r="A11" s="23" t="s">
        <v>0</v>
      </c>
      <c r="B11" s="42">
        <v>29742.3</v>
      </c>
      <c r="C11" s="43">
        <v>80900.5</v>
      </c>
      <c r="D11" s="49">
        <f>143.9+390+0.1</f>
        <v>534</v>
      </c>
      <c r="E11" s="1">
        <f>D11/D6*100</f>
        <v>1.3440488086039257</v>
      </c>
      <c r="F11" s="1">
        <f t="shared" si="3"/>
        <v>1.7954226808283154</v>
      </c>
      <c r="G11" s="1">
        <f t="shared" si="0"/>
        <v>0.6600700860934111</v>
      </c>
      <c r="H11" s="44">
        <f t="shared" si="2"/>
        <v>29208.3</v>
      </c>
      <c r="I11" s="44">
        <f t="shared" si="1"/>
        <v>80366.5</v>
      </c>
    </row>
    <row r="12" spans="1:9" ht="18">
      <c r="A12" s="23" t="s">
        <v>14</v>
      </c>
      <c r="B12" s="42">
        <v>2578.5</v>
      </c>
      <c r="C12" s="43">
        <v>14045.4</v>
      </c>
      <c r="D12" s="44">
        <f>276.3+3.4+1.2+766.5</f>
        <v>1047.4</v>
      </c>
      <c r="E12" s="1">
        <f>D12/D6*100</f>
        <v>2.6362485433178877</v>
      </c>
      <c r="F12" s="1">
        <f t="shared" si="3"/>
        <v>40.62051580376188</v>
      </c>
      <c r="G12" s="1">
        <f t="shared" si="0"/>
        <v>7.457245788656786</v>
      </c>
      <c r="H12" s="44">
        <f t="shared" si="2"/>
        <v>1531.1</v>
      </c>
      <c r="I12" s="44">
        <f t="shared" si="1"/>
        <v>12998</v>
      </c>
    </row>
    <row r="13" spans="1:9" ht="18.75" thickBot="1">
      <c r="A13" s="23" t="s">
        <v>28</v>
      </c>
      <c r="B13" s="43">
        <f>B6-B8-B9-B10-B11-B12</f>
        <v>1397.1000000000022</v>
      </c>
      <c r="C13" s="43">
        <f>C6-C8-C9-C10-C11-C12</f>
        <v>15086.199999999919</v>
      </c>
      <c r="D13" s="43">
        <f>D6-D8-D9-D10-D11-D12</f>
        <v>33.40000000000714</v>
      </c>
      <c r="E13" s="1">
        <f>D13/D6*100</f>
        <v>0.08406597417112494</v>
      </c>
      <c r="F13" s="1">
        <f t="shared" si="3"/>
        <v>2.390666380359823</v>
      </c>
      <c r="G13" s="1">
        <f t="shared" si="0"/>
        <v>0.22139438692319685</v>
      </c>
      <c r="H13" s="44">
        <f t="shared" si="2"/>
        <v>1363.699999999995</v>
      </c>
      <c r="I13" s="44">
        <f t="shared" si="1"/>
        <v>15052.799999999912</v>
      </c>
    </row>
    <row r="14" spans="1:9" s="37" customFormat="1" ht="18.75" customHeight="1" hidden="1">
      <c r="A14" s="96" t="s">
        <v>63</v>
      </c>
      <c r="B14" s="94"/>
      <c r="C14" s="94"/>
      <c r="D14" s="94"/>
      <c r="E14" s="95"/>
      <c r="F14" s="95" t="e">
        <f>D14/B14*100</f>
        <v>#DIV/0!</v>
      </c>
      <c r="G14" s="95" t="e">
        <f>D14/C14*100</f>
        <v>#DIV/0!</v>
      </c>
      <c r="H14" s="105">
        <f>B14-D14</f>
        <v>0</v>
      </c>
      <c r="I14" s="105">
        <f>C14-D14</f>
        <v>0</v>
      </c>
    </row>
    <row r="15" spans="1:9" s="37" customFormat="1" ht="18.75" customHeight="1" hidden="1">
      <c r="A15" s="96" t="s">
        <v>60</v>
      </c>
      <c r="B15" s="94"/>
      <c r="C15" s="94"/>
      <c r="D15" s="94"/>
      <c r="E15" s="95"/>
      <c r="F15" s="95" t="e">
        <f>D15/B15*100</f>
        <v>#DIV/0!</v>
      </c>
      <c r="G15" s="95" t="e">
        <f>D15/C15*100</f>
        <v>#DIV/0!</v>
      </c>
      <c r="H15" s="105">
        <f>B15-D15</f>
        <v>0</v>
      </c>
      <c r="I15" s="105">
        <f>C15-D15</f>
        <v>0</v>
      </c>
    </row>
    <row r="16" spans="1:9" s="37" customFormat="1" ht="19.5" hidden="1" thickBot="1">
      <c r="A16" s="96" t="s">
        <v>61</v>
      </c>
      <c r="B16" s="94"/>
      <c r="C16" s="94"/>
      <c r="D16" s="94"/>
      <c r="E16" s="95"/>
      <c r="F16" s="95" t="e">
        <f>D16/B16*100</f>
        <v>#DIV/0!</v>
      </c>
      <c r="G16" s="95" t="e">
        <f>D16/C16*100</f>
        <v>#DIV/0!</v>
      </c>
      <c r="H16" s="105">
        <f>B16-D16</f>
        <v>0</v>
      </c>
      <c r="I16" s="105">
        <f>C16-D16</f>
        <v>0</v>
      </c>
    </row>
    <row r="17" spans="1:9" s="37" customFormat="1" ht="19.5" hidden="1" thickBot="1">
      <c r="A17" s="96" t="s">
        <v>62</v>
      </c>
      <c r="B17" s="94"/>
      <c r="C17" s="94"/>
      <c r="D17" s="94"/>
      <c r="E17" s="95"/>
      <c r="F17" s="95" t="e">
        <f>D17/B17*100</f>
        <v>#DIV/0!</v>
      </c>
      <c r="G17" s="95" t="e">
        <f>D17/C17*100</f>
        <v>#DIV/0!</v>
      </c>
      <c r="H17" s="105">
        <f>B17-D17</f>
        <v>0</v>
      </c>
      <c r="I17" s="105">
        <f>C17-D17</f>
        <v>0</v>
      </c>
    </row>
    <row r="18" spans="1:9" ht="18.75" thickBot="1">
      <c r="A18" s="22" t="s">
        <v>19</v>
      </c>
      <c r="B18" s="45">
        <v>65601.9</v>
      </c>
      <c r="C18" s="46">
        <v>329127.1</v>
      </c>
      <c r="D18" s="47">
        <f>7750.2+16091.8+509.8+21.4</f>
        <v>24373.2</v>
      </c>
      <c r="E18" s="3">
        <f>D18/D150*100</f>
        <v>23.53827388695579</v>
      </c>
      <c r="F18" s="3">
        <f>D18/B18*100</f>
        <v>37.15319220937199</v>
      </c>
      <c r="G18" s="3">
        <f t="shared" si="0"/>
        <v>7.405406604317907</v>
      </c>
      <c r="H18" s="47">
        <f>B18-D18</f>
        <v>41228.7</v>
      </c>
      <c r="I18" s="47">
        <f t="shared" si="1"/>
        <v>304753.89999999997</v>
      </c>
    </row>
    <row r="19" spans="1:9" s="37" customFormat="1" ht="18.75">
      <c r="A19" s="104" t="s">
        <v>84</v>
      </c>
      <c r="B19" s="97">
        <v>39708.5</v>
      </c>
      <c r="C19" s="94">
        <v>238249.5</v>
      </c>
      <c r="D19" s="105">
        <f>7750.2+9045.4-324.4</f>
        <v>16471.199999999997</v>
      </c>
      <c r="E19" s="95">
        <f>D19/D18*100</f>
        <v>67.57914430604104</v>
      </c>
      <c r="F19" s="95">
        <f t="shared" si="3"/>
        <v>41.48028759585479</v>
      </c>
      <c r="G19" s="95">
        <f t="shared" si="0"/>
        <v>6.913424792077212</v>
      </c>
      <c r="H19" s="105">
        <f t="shared" si="2"/>
        <v>23237.300000000003</v>
      </c>
      <c r="I19" s="105">
        <f t="shared" si="1"/>
        <v>221778.3</v>
      </c>
    </row>
    <row r="20" spans="1:9" ht="18" hidden="1">
      <c r="A20" s="23" t="s">
        <v>5</v>
      </c>
      <c r="B20" s="42"/>
      <c r="C20" s="43"/>
      <c r="D20" s="44"/>
      <c r="E20" s="1">
        <f>D20/D18*100</f>
        <v>0</v>
      </c>
      <c r="F20" s="1" t="e">
        <f t="shared" si="3"/>
        <v>#DIV/0!</v>
      </c>
      <c r="G20" s="1" t="e">
        <f t="shared" si="0"/>
        <v>#DIV/0!</v>
      </c>
      <c r="H20" s="44">
        <f t="shared" si="2"/>
        <v>0</v>
      </c>
      <c r="I20" s="44">
        <f t="shared" si="1"/>
        <v>0</v>
      </c>
    </row>
    <row r="21" spans="1:9" ht="18" hidden="1">
      <c r="A21" s="23" t="s">
        <v>2</v>
      </c>
      <c r="B21" s="42"/>
      <c r="C21" s="43"/>
      <c r="D21" s="44"/>
      <c r="E21" s="1">
        <f>D21/D18*100</f>
        <v>0</v>
      </c>
      <c r="F21" s="1" t="e">
        <f t="shared" si="3"/>
        <v>#DIV/0!</v>
      </c>
      <c r="G21" s="1" t="e">
        <f t="shared" si="0"/>
        <v>#DIV/0!</v>
      </c>
      <c r="H21" s="44">
        <f t="shared" si="2"/>
        <v>0</v>
      </c>
      <c r="I21" s="44">
        <f t="shared" si="1"/>
        <v>0</v>
      </c>
    </row>
    <row r="22" spans="1:9" ht="18" hidden="1">
      <c r="A22" s="23" t="s">
        <v>1</v>
      </c>
      <c r="B22" s="42"/>
      <c r="C22" s="43"/>
      <c r="D22" s="44"/>
      <c r="E22" s="1">
        <f>D22/D18*100</f>
        <v>0</v>
      </c>
      <c r="F22" s="1" t="e">
        <f t="shared" si="3"/>
        <v>#DIV/0!</v>
      </c>
      <c r="G22" s="1" t="e">
        <f t="shared" si="0"/>
        <v>#DIV/0!</v>
      </c>
      <c r="H22" s="44">
        <f t="shared" si="2"/>
        <v>0</v>
      </c>
      <c r="I22" s="44">
        <f t="shared" si="1"/>
        <v>0</v>
      </c>
    </row>
    <row r="23" spans="1:9" ht="18" hidden="1">
      <c r="A23" s="23" t="s">
        <v>0</v>
      </c>
      <c r="B23" s="42"/>
      <c r="C23" s="43"/>
      <c r="D23" s="44"/>
      <c r="E23" s="1">
        <f>D23/D18*100</f>
        <v>0</v>
      </c>
      <c r="F23" s="1" t="e">
        <f t="shared" si="3"/>
        <v>#DIV/0!</v>
      </c>
      <c r="G23" s="1" t="e">
        <f t="shared" si="0"/>
        <v>#DIV/0!</v>
      </c>
      <c r="H23" s="44">
        <f t="shared" si="2"/>
        <v>0</v>
      </c>
      <c r="I23" s="44">
        <f t="shared" si="1"/>
        <v>0</v>
      </c>
    </row>
    <row r="24" spans="1:9" ht="18" hidden="1">
      <c r="A24" s="23" t="s">
        <v>14</v>
      </c>
      <c r="B24" s="42"/>
      <c r="C24" s="43"/>
      <c r="D24" s="44"/>
      <c r="E24" s="1">
        <f>D24/D18*100</f>
        <v>0</v>
      </c>
      <c r="F24" s="1" t="e">
        <f t="shared" si="3"/>
        <v>#DIV/0!</v>
      </c>
      <c r="G24" s="1" t="e">
        <f t="shared" si="0"/>
        <v>#DIV/0!</v>
      </c>
      <c r="H24" s="44">
        <f t="shared" si="2"/>
        <v>0</v>
      </c>
      <c r="I24" s="44">
        <f t="shared" si="1"/>
        <v>0</v>
      </c>
    </row>
    <row r="25" spans="1:9" ht="18.75" thickBot="1">
      <c r="A25" s="23" t="s">
        <v>28</v>
      </c>
      <c r="B25" s="43">
        <f>B18</f>
        <v>65601.9</v>
      </c>
      <c r="C25" s="43">
        <f>C18</f>
        <v>329127.1</v>
      </c>
      <c r="D25" s="43">
        <f>D18</f>
        <v>24373.2</v>
      </c>
      <c r="E25" s="1">
        <f>D25/D18*100</f>
        <v>100</v>
      </c>
      <c r="F25" s="1">
        <f t="shared" si="3"/>
        <v>37.15319220937199</v>
      </c>
      <c r="G25" s="1">
        <f t="shared" si="0"/>
        <v>7.405406604317907</v>
      </c>
      <c r="H25" s="44">
        <f t="shared" si="2"/>
        <v>41228.7</v>
      </c>
      <c r="I25" s="44">
        <f t="shared" si="1"/>
        <v>304753.89999999997</v>
      </c>
    </row>
    <row r="26" spans="1:9" ht="57" hidden="1" thickBot="1">
      <c r="A26" s="96" t="s">
        <v>71</v>
      </c>
      <c r="B26" s="43"/>
      <c r="C26" s="43"/>
      <c r="D26" s="43"/>
      <c r="E26" s="1"/>
      <c r="F26" s="1" t="e">
        <f t="shared" si="3"/>
        <v>#DIV/0!</v>
      </c>
      <c r="G26" s="1" t="e">
        <f t="shared" si="0"/>
        <v>#DIV/0!</v>
      </c>
      <c r="H26" s="44">
        <f t="shared" si="2"/>
        <v>0</v>
      </c>
      <c r="I26" s="44">
        <f t="shared" si="1"/>
        <v>0</v>
      </c>
    </row>
    <row r="27" spans="1:9" ht="36.75" customHeight="1" hidden="1">
      <c r="A27" s="96" t="s">
        <v>72</v>
      </c>
      <c r="B27" s="43"/>
      <c r="C27" s="43"/>
      <c r="D27" s="43"/>
      <c r="E27" s="1"/>
      <c r="F27" s="1" t="e">
        <f t="shared" si="3"/>
        <v>#DIV/0!</v>
      </c>
      <c r="G27" s="1" t="e">
        <f t="shared" si="0"/>
        <v>#DIV/0!</v>
      </c>
      <c r="H27" s="44">
        <f t="shared" si="2"/>
        <v>0</v>
      </c>
      <c r="I27" s="44">
        <f t="shared" si="1"/>
        <v>0</v>
      </c>
    </row>
    <row r="28" spans="1:9" ht="19.5" hidden="1" thickBot="1">
      <c r="A28" s="96" t="s">
        <v>73</v>
      </c>
      <c r="B28" s="43"/>
      <c r="C28" s="43"/>
      <c r="D28" s="43"/>
      <c r="E28" s="1"/>
      <c r="F28" s="1" t="e">
        <f t="shared" si="3"/>
        <v>#DIV/0!</v>
      </c>
      <c r="G28" s="1" t="e">
        <f t="shared" si="0"/>
        <v>#DIV/0!</v>
      </c>
      <c r="H28" s="44">
        <f t="shared" si="2"/>
        <v>0</v>
      </c>
      <c r="I28" s="44">
        <f t="shared" si="1"/>
        <v>0</v>
      </c>
    </row>
    <row r="29" spans="1:9" ht="39.75" customHeight="1" hidden="1">
      <c r="A29" s="96" t="s">
        <v>74</v>
      </c>
      <c r="B29" s="43"/>
      <c r="C29" s="43"/>
      <c r="D29" s="43"/>
      <c r="E29" s="1"/>
      <c r="F29" s="1" t="e">
        <f t="shared" si="3"/>
        <v>#DIV/0!</v>
      </c>
      <c r="G29" s="1" t="e">
        <f t="shared" si="0"/>
        <v>#DIV/0!</v>
      </c>
      <c r="H29" s="44">
        <f t="shared" si="2"/>
        <v>0</v>
      </c>
      <c r="I29" s="44">
        <f t="shared" si="1"/>
        <v>0</v>
      </c>
    </row>
    <row r="30" spans="1:9" ht="37.5" customHeight="1" hidden="1">
      <c r="A30" s="96" t="s">
        <v>75</v>
      </c>
      <c r="B30" s="43"/>
      <c r="C30" s="43"/>
      <c r="D30" s="43"/>
      <c r="E30" s="1"/>
      <c r="F30" s="1" t="e">
        <f>D30/B30*100</f>
        <v>#DIV/0!</v>
      </c>
      <c r="G30" s="1" t="e">
        <f t="shared" si="0"/>
        <v>#DIV/0!</v>
      </c>
      <c r="H30" s="44">
        <f t="shared" si="2"/>
        <v>0</v>
      </c>
      <c r="I30" s="44">
        <f t="shared" si="1"/>
        <v>0</v>
      </c>
    </row>
    <row r="31" spans="1:9" ht="36" customHeight="1" hidden="1">
      <c r="A31" s="96" t="s">
        <v>76</v>
      </c>
      <c r="B31" s="43"/>
      <c r="C31" s="43"/>
      <c r="D31" s="43"/>
      <c r="E31" s="1"/>
      <c r="F31" s="1" t="e">
        <f t="shared" si="3"/>
        <v>#DIV/0!</v>
      </c>
      <c r="G31" s="1" t="e">
        <f t="shared" si="0"/>
        <v>#DIV/0!</v>
      </c>
      <c r="H31" s="44">
        <f t="shared" si="2"/>
        <v>0</v>
      </c>
      <c r="I31" s="44">
        <f t="shared" si="1"/>
        <v>0</v>
      </c>
    </row>
    <row r="32" spans="1:9" ht="19.5" hidden="1" thickBot="1">
      <c r="A32" s="96" t="s">
        <v>77</v>
      </c>
      <c r="B32" s="43"/>
      <c r="C32" s="43"/>
      <c r="D32" s="43"/>
      <c r="E32" s="1"/>
      <c r="F32" s="1" t="e">
        <f t="shared" si="3"/>
        <v>#DIV/0!</v>
      </c>
      <c r="G32" s="1" t="e">
        <f t="shared" si="0"/>
        <v>#DIV/0!</v>
      </c>
      <c r="H32" s="44">
        <f t="shared" si="2"/>
        <v>0</v>
      </c>
      <c r="I32" s="44">
        <f t="shared" si="1"/>
        <v>0</v>
      </c>
    </row>
    <row r="33" spans="1:9" ht="18.75" thickBot="1">
      <c r="A33" s="22" t="s">
        <v>17</v>
      </c>
      <c r="B33" s="45">
        <v>9874.6</v>
      </c>
      <c r="C33" s="46">
        <v>67303.3</v>
      </c>
      <c r="D33" s="50">
        <f>1839.2+34.8+165.7+1873.2+1.3</f>
        <v>3914.2000000000003</v>
      </c>
      <c r="E33" s="3">
        <f>D33/D150*100</f>
        <v>3.7801155223082055</v>
      </c>
      <c r="F33" s="3">
        <f>D33/B33*100</f>
        <v>39.6390739878071</v>
      </c>
      <c r="G33" s="3">
        <f t="shared" si="0"/>
        <v>5.815762377179128</v>
      </c>
      <c r="H33" s="47">
        <f t="shared" si="2"/>
        <v>5960.4</v>
      </c>
      <c r="I33" s="47">
        <f t="shared" si="1"/>
        <v>63389.100000000006</v>
      </c>
    </row>
    <row r="34" spans="1:9" ht="18">
      <c r="A34" s="23" t="s">
        <v>3</v>
      </c>
      <c r="B34" s="42">
        <v>7367</v>
      </c>
      <c r="C34" s="43">
        <v>55535.9</v>
      </c>
      <c r="D34" s="44">
        <f>1743.2+1833.7</f>
        <v>3576.9</v>
      </c>
      <c r="E34" s="1">
        <f>D34/D33*100</f>
        <v>91.38265801440907</v>
      </c>
      <c r="F34" s="1">
        <f t="shared" si="3"/>
        <v>48.55300665128275</v>
      </c>
      <c r="G34" s="1">
        <f t="shared" si="0"/>
        <v>6.440698719206855</v>
      </c>
      <c r="H34" s="44">
        <f t="shared" si="2"/>
        <v>3790.1</v>
      </c>
      <c r="I34" s="44">
        <f t="shared" si="1"/>
        <v>51959</v>
      </c>
    </row>
    <row r="35" spans="1:9" ht="18" hidden="1">
      <c r="A35" s="23" t="s">
        <v>1</v>
      </c>
      <c r="B35" s="42"/>
      <c r="C35" s="43"/>
      <c r="D35" s="44"/>
      <c r="E35" s="1">
        <f>D35/D33*100</f>
        <v>0</v>
      </c>
      <c r="F35" s="1" t="e">
        <f t="shared" si="3"/>
        <v>#DIV/0!</v>
      </c>
      <c r="G35" s="1" t="e">
        <f t="shared" si="0"/>
        <v>#DIV/0!</v>
      </c>
      <c r="H35" s="44">
        <f t="shared" si="2"/>
        <v>0</v>
      </c>
      <c r="I35" s="44">
        <f t="shared" si="1"/>
        <v>0</v>
      </c>
    </row>
    <row r="36" spans="1:9" ht="18">
      <c r="A36" s="23" t="s">
        <v>0</v>
      </c>
      <c r="B36" s="42">
        <v>819.5</v>
      </c>
      <c r="C36" s="43">
        <v>2945.3</v>
      </c>
      <c r="D36" s="44">
        <f>5.4+1.2</f>
        <v>6.6000000000000005</v>
      </c>
      <c r="E36" s="1">
        <f>D36/D33*100</f>
        <v>0.1686168310254969</v>
      </c>
      <c r="F36" s="1">
        <f t="shared" si="3"/>
        <v>0.8053691275167786</v>
      </c>
      <c r="G36" s="1">
        <f t="shared" si="0"/>
        <v>0.22408583166400706</v>
      </c>
      <c r="H36" s="44">
        <f t="shared" si="2"/>
        <v>812.9</v>
      </c>
      <c r="I36" s="44">
        <f t="shared" si="1"/>
        <v>2938.7000000000003</v>
      </c>
    </row>
    <row r="37" spans="1:9" s="37" customFormat="1" ht="18.75">
      <c r="A37" s="18" t="s">
        <v>7</v>
      </c>
      <c r="B37" s="51">
        <v>94.5</v>
      </c>
      <c r="C37" s="52">
        <v>856.1</v>
      </c>
      <c r="D37" s="53"/>
      <c r="E37" s="17">
        <f>D37/D33*100</f>
        <v>0</v>
      </c>
      <c r="F37" s="17">
        <f t="shared" si="3"/>
        <v>0</v>
      </c>
      <c r="G37" s="17">
        <f t="shared" si="0"/>
        <v>0</v>
      </c>
      <c r="H37" s="53">
        <f t="shared" si="2"/>
        <v>94.5</v>
      </c>
      <c r="I37" s="53">
        <f t="shared" si="1"/>
        <v>856.1</v>
      </c>
    </row>
    <row r="38" spans="1:9" ht="18">
      <c r="A38" s="23" t="s">
        <v>14</v>
      </c>
      <c r="B38" s="42">
        <v>10.2</v>
      </c>
      <c r="C38" s="43">
        <v>80.8</v>
      </c>
      <c r="D38" s="43"/>
      <c r="E38" s="1">
        <f>D38/D33*100</f>
        <v>0</v>
      </c>
      <c r="F38" s="1">
        <f t="shared" si="3"/>
        <v>0</v>
      </c>
      <c r="G38" s="1">
        <f t="shared" si="0"/>
        <v>0</v>
      </c>
      <c r="H38" s="44">
        <f t="shared" si="2"/>
        <v>10.2</v>
      </c>
      <c r="I38" s="44">
        <f t="shared" si="1"/>
        <v>80.8</v>
      </c>
    </row>
    <row r="39" spans="1:9" ht="18.75" thickBot="1">
      <c r="A39" s="23" t="s">
        <v>28</v>
      </c>
      <c r="B39" s="42">
        <f>B33-B34-B36-B37-B35-B38</f>
        <v>1583.4000000000003</v>
      </c>
      <c r="C39" s="42">
        <f>C33-C34-C36-C37-C35-C38</f>
        <v>7885.200000000002</v>
      </c>
      <c r="D39" s="42">
        <f>D33-D34-D36-D37-D35-D38</f>
        <v>330.70000000000016</v>
      </c>
      <c r="E39" s="1">
        <f>D39/D33*100</f>
        <v>8.448725154565432</v>
      </c>
      <c r="F39" s="1">
        <f t="shared" si="3"/>
        <v>20.885436402677787</v>
      </c>
      <c r="G39" s="1">
        <f t="shared" si="0"/>
        <v>4.193932937655355</v>
      </c>
      <c r="H39" s="44">
        <f>B39-D39</f>
        <v>1252.7000000000003</v>
      </c>
      <c r="I39" s="44">
        <f t="shared" si="1"/>
        <v>7554.500000000002</v>
      </c>
    </row>
    <row r="40" spans="1:9" ht="19.5" hidden="1" thickBot="1">
      <c r="A40" s="96" t="s">
        <v>68</v>
      </c>
      <c r="B40" s="97"/>
      <c r="C40" s="97"/>
      <c r="D40" s="97"/>
      <c r="E40" s="95"/>
      <c r="F40" s="95" t="e">
        <f t="shared" si="3"/>
        <v>#DIV/0!</v>
      </c>
      <c r="G40" s="95" t="e">
        <f t="shared" si="0"/>
        <v>#DIV/0!</v>
      </c>
      <c r="H40" s="105">
        <f>B40-D40</f>
        <v>0</v>
      </c>
      <c r="I40" s="105">
        <f t="shared" si="1"/>
        <v>0</v>
      </c>
    </row>
    <row r="41" spans="1:9" ht="19.5" hidden="1" thickBot="1">
      <c r="A41" s="96" t="s">
        <v>69</v>
      </c>
      <c r="B41" s="97"/>
      <c r="C41" s="97"/>
      <c r="D41" s="97"/>
      <c r="E41" s="95"/>
      <c r="F41" s="95" t="e">
        <f t="shared" si="3"/>
        <v>#DIV/0!</v>
      </c>
      <c r="G41" s="95" t="e">
        <f t="shared" si="0"/>
        <v>#DIV/0!</v>
      </c>
      <c r="H41" s="105">
        <f>B41-D41</f>
        <v>0</v>
      </c>
      <c r="I41" s="105">
        <f t="shared" si="1"/>
        <v>0</v>
      </c>
    </row>
    <row r="42" spans="1:9" ht="19.5" hidden="1" thickBot="1">
      <c r="A42" s="96" t="s">
        <v>70</v>
      </c>
      <c r="B42" s="97"/>
      <c r="C42" s="97"/>
      <c r="D42" s="97"/>
      <c r="E42" s="95"/>
      <c r="F42" s="95"/>
      <c r="G42" s="95" t="e">
        <f t="shared" si="0"/>
        <v>#DIV/0!</v>
      </c>
      <c r="H42" s="105">
        <f>B42-D42</f>
        <v>0</v>
      </c>
      <c r="I42" s="105">
        <f t="shared" si="1"/>
        <v>0</v>
      </c>
    </row>
    <row r="43" spans="1:9" ht="19.5" thickBot="1">
      <c r="A43" s="13" t="s">
        <v>16</v>
      </c>
      <c r="B43" s="98">
        <v>304.6</v>
      </c>
      <c r="C43" s="46">
        <v>1548.6</v>
      </c>
      <c r="D43" s="47">
        <f>29.1+22+50.2</f>
        <v>101.30000000000001</v>
      </c>
      <c r="E43" s="3">
        <f>D43/D150*100</f>
        <v>0.09782987645235841</v>
      </c>
      <c r="F43" s="3">
        <f>D43/B43*100</f>
        <v>33.256730137885754</v>
      </c>
      <c r="G43" s="3">
        <f t="shared" si="0"/>
        <v>6.541392225235699</v>
      </c>
      <c r="H43" s="47">
        <f t="shared" si="2"/>
        <v>203.3</v>
      </c>
      <c r="I43" s="47">
        <f t="shared" si="1"/>
        <v>1447.3</v>
      </c>
    </row>
    <row r="44" spans="1:9" ht="12" customHeight="1" thickBot="1">
      <c r="A44" s="25"/>
      <c r="B44" s="55"/>
      <c r="C44" s="56"/>
      <c r="D44" s="57"/>
      <c r="E44" s="7"/>
      <c r="F44" s="7"/>
      <c r="G44" s="7"/>
      <c r="H44" s="57"/>
      <c r="I44" s="57"/>
    </row>
    <row r="45" spans="1:9" ht="18.75" thickBot="1">
      <c r="A45" s="22" t="s">
        <v>45</v>
      </c>
      <c r="B45" s="45">
        <v>2030.7</v>
      </c>
      <c r="C45" s="46">
        <v>11788</v>
      </c>
      <c r="D45" s="47">
        <f>102.9+155.5+3.1+3.7+452.3</f>
        <v>717.5</v>
      </c>
      <c r="E45" s="3">
        <f>D45/D150*100</f>
        <v>0.6929213855337328</v>
      </c>
      <c r="F45" s="3">
        <f>D45/B45*100</f>
        <v>35.33264391589107</v>
      </c>
      <c r="G45" s="3">
        <f aca="true" t="shared" si="4" ref="G45:G76">D45/C45*100</f>
        <v>6.0866983372921615</v>
      </c>
      <c r="H45" s="47">
        <f>B45-D45</f>
        <v>1313.2</v>
      </c>
      <c r="I45" s="47">
        <f aca="true" t="shared" si="5" ref="I45:I77">C45-D45</f>
        <v>11070.5</v>
      </c>
    </row>
    <row r="46" spans="1:9" ht="18">
      <c r="A46" s="23" t="s">
        <v>3</v>
      </c>
      <c r="B46" s="42">
        <v>1662.8</v>
      </c>
      <c r="C46" s="43">
        <v>10529.7</v>
      </c>
      <c r="D46" s="44">
        <f>102.7+154.9+447.3</f>
        <v>704.9000000000001</v>
      </c>
      <c r="E46" s="1">
        <f>D46/D45*100</f>
        <v>98.2439024390244</v>
      </c>
      <c r="F46" s="1">
        <f aca="true" t="shared" si="6" ref="F46:F74">D46/B46*100</f>
        <v>42.392350252586006</v>
      </c>
      <c r="G46" s="1">
        <f t="shared" si="4"/>
        <v>6.694397751123014</v>
      </c>
      <c r="H46" s="44">
        <f aca="true" t="shared" si="7" ref="H46:H74">B46-D46</f>
        <v>957.8999999999999</v>
      </c>
      <c r="I46" s="44">
        <f t="shared" si="5"/>
        <v>9824.800000000001</v>
      </c>
    </row>
    <row r="47" spans="1:9" ht="18">
      <c r="A47" s="23" t="s">
        <v>2</v>
      </c>
      <c r="B47" s="42">
        <v>0.5</v>
      </c>
      <c r="C47" s="43">
        <v>1.4</v>
      </c>
      <c r="D47" s="44"/>
      <c r="E47" s="1">
        <f>D47/D45*100</f>
        <v>0</v>
      </c>
      <c r="F47" s="1">
        <f t="shared" si="6"/>
        <v>0</v>
      </c>
      <c r="G47" s="1">
        <f t="shared" si="4"/>
        <v>0</v>
      </c>
      <c r="H47" s="44">
        <f t="shared" si="7"/>
        <v>0.5</v>
      </c>
      <c r="I47" s="44">
        <f t="shared" si="5"/>
        <v>1.4</v>
      </c>
    </row>
    <row r="48" spans="1:9" ht="18">
      <c r="A48" s="23" t="s">
        <v>1</v>
      </c>
      <c r="B48" s="42">
        <v>8.2</v>
      </c>
      <c r="C48" s="43">
        <v>73.4</v>
      </c>
      <c r="D48" s="44"/>
      <c r="E48" s="1">
        <f>D48/D45*100</f>
        <v>0</v>
      </c>
      <c r="F48" s="1">
        <f t="shared" si="6"/>
        <v>0</v>
      </c>
      <c r="G48" s="1">
        <f t="shared" si="4"/>
        <v>0</v>
      </c>
      <c r="H48" s="44">
        <f t="shared" si="7"/>
        <v>8.2</v>
      </c>
      <c r="I48" s="44">
        <f t="shared" si="5"/>
        <v>73.4</v>
      </c>
    </row>
    <row r="49" spans="1:9" ht="18">
      <c r="A49" s="23" t="s">
        <v>0</v>
      </c>
      <c r="B49" s="42">
        <v>317.1</v>
      </c>
      <c r="C49" s="43">
        <v>865.1</v>
      </c>
      <c r="D49" s="44">
        <f>3.1+3.5</f>
        <v>6.6</v>
      </c>
      <c r="E49" s="1">
        <f>D49/D45*100</f>
        <v>0.9198606271777003</v>
      </c>
      <c r="F49" s="1">
        <f t="shared" si="6"/>
        <v>2.0813623462630084</v>
      </c>
      <c r="G49" s="1">
        <f t="shared" si="4"/>
        <v>0.7629175817824528</v>
      </c>
      <c r="H49" s="44">
        <f t="shared" si="7"/>
        <v>310.5</v>
      </c>
      <c r="I49" s="44">
        <f t="shared" si="5"/>
        <v>858.5</v>
      </c>
    </row>
    <row r="50" spans="1:9" ht="18.75" thickBot="1">
      <c r="A50" s="23" t="s">
        <v>28</v>
      </c>
      <c r="B50" s="43">
        <f>B45-B46-B49-B48-B47</f>
        <v>42.100000000000065</v>
      </c>
      <c r="C50" s="43">
        <f>C45-C46-C49-C48-C47</f>
        <v>318.3999999999993</v>
      </c>
      <c r="D50" s="43">
        <f>D45-D46-D49-D48-D47</f>
        <v>5.999999999999909</v>
      </c>
      <c r="E50" s="1">
        <f>D50/D45*100</f>
        <v>0.8362369337978968</v>
      </c>
      <c r="F50" s="1">
        <f t="shared" si="6"/>
        <v>14.251781472683847</v>
      </c>
      <c r="G50" s="1">
        <f t="shared" si="4"/>
        <v>1.8844221105527394</v>
      </c>
      <c r="H50" s="44">
        <f t="shared" si="7"/>
        <v>36.10000000000016</v>
      </c>
      <c r="I50" s="44">
        <f t="shared" si="5"/>
        <v>312.3999999999994</v>
      </c>
    </row>
    <row r="51" spans="1:9" ht="18.75" thickBot="1">
      <c r="A51" s="22" t="s">
        <v>4</v>
      </c>
      <c r="B51" s="45">
        <v>3975.9</v>
      </c>
      <c r="C51" s="46">
        <v>23558.7</v>
      </c>
      <c r="D51" s="47">
        <f>475.9+7.8+935.8+30.7-0.1</f>
        <v>1450.1000000000001</v>
      </c>
      <c r="E51" s="3">
        <f>D51/D150*100</f>
        <v>1.4004255068466427</v>
      </c>
      <c r="F51" s="3">
        <f>D51/B51*100</f>
        <v>36.47224527779874</v>
      </c>
      <c r="G51" s="3">
        <f t="shared" si="4"/>
        <v>6.155263236086881</v>
      </c>
      <c r="H51" s="47">
        <f>B51-D51</f>
        <v>2525.8</v>
      </c>
      <c r="I51" s="47">
        <f t="shared" si="5"/>
        <v>22108.600000000002</v>
      </c>
    </row>
    <row r="52" spans="1:9" ht="18">
      <c r="A52" s="23" t="s">
        <v>3</v>
      </c>
      <c r="B52" s="42">
        <v>2388</v>
      </c>
      <c r="C52" s="43">
        <v>16189.8</v>
      </c>
      <c r="D52" s="44">
        <f>392.4+738.8</f>
        <v>1131.1999999999998</v>
      </c>
      <c r="E52" s="1">
        <f>D52/D51*100</f>
        <v>78.00841321288186</v>
      </c>
      <c r="F52" s="1">
        <f t="shared" si="6"/>
        <v>47.37018425460636</v>
      </c>
      <c r="G52" s="1">
        <f t="shared" si="4"/>
        <v>6.987115344229082</v>
      </c>
      <c r="H52" s="44">
        <f t="shared" si="7"/>
        <v>1256.8000000000002</v>
      </c>
      <c r="I52" s="44">
        <f t="shared" si="5"/>
        <v>15058.599999999999</v>
      </c>
    </row>
    <row r="53" spans="1:9" ht="18">
      <c r="A53" s="23" t="s">
        <v>2</v>
      </c>
      <c r="B53" s="42">
        <v>0</v>
      </c>
      <c r="C53" s="43">
        <v>13</v>
      </c>
      <c r="D53" s="44"/>
      <c r="E53" s="1">
        <f>D53/D51*100</f>
        <v>0</v>
      </c>
      <c r="F53" s="103" t="e">
        <f>D53/B53*100</f>
        <v>#DIV/0!</v>
      </c>
      <c r="G53" s="1">
        <f t="shared" si="4"/>
        <v>0</v>
      </c>
      <c r="H53" s="44">
        <f t="shared" si="7"/>
        <v>0</v>
      </c>
      <c r="I53" s="44">
        <f t="shared" si="5"/>
        <v>13</v>
      </c>
    </row>
    <row r="54" spans="1:9" ht="18">
      <c r="A54" s="23" t="s">
        <v>1</v>
      </c>
      <c r="B54" s="42">
        <v>125.5</v>
      </c>
      <c r="C54" s="43">
        <v>810.2</v>
      </c>
      <c r="D54" s="44"/>
      <c r="E54" s="1">
        <f>D54/D51*100</f>
        <v>0</v>
      </c>
      <c r="F54" s="1">
        <f t="shared" si="6"/>
        <v>0</v>
      </c>
      <c r="G54" s="1">
        <f t="shared" si="4"/>
        <v>0</v>
      </c>
      <c r="H54" s="44">
        <f t="shared" si="7"/>
        <v>125.5</v>
      </c>
      <c r="I54" s="44">
        <f t="shared" si="5"/>
        <v>810.2</v>
      </c>
    </row>
    <row r="55" spans="1:9" ht="18">
      <c r="A55" s="23" t="s">
        <v>0</v>
      </c>
      <c r="B55" s="42">
        <v>326.8</v>
      </c>
      <c r="C55" s="43">
        <v>1048.5</v>
      </c>
      <c r="D55" s="44"/>
      <c r="E55" s="1">
        <f>D55/D51*100</f>
        <v>0</v>
      </c>
      <c r="F55" s="1">
        <f t="shared" si="6"/>
        <v>0</v>
      </c>
      <c r="G55" s="1">
        <f t="shared" si="4"/>
        <v>0</v>
      </c>
      <c r="H55" s="44">
        <f t="shared" si="7"/>
        <v>326.8</v>
      </c>
      <c r="I55" s="44">
        <f t="shared" si="5"/>
        <v>1048.5</v>
      </c>
    </row>
    <row r="56" spans="1:9" ht="18">
      <c r="A56" s="23" t="s">
        <v>14</v>
      </c>
      <c r="B56" s="42">
        <v>86.5</v>
      </c>
      <c r="C56" s="43">
        <v>518.9</v>
      </c>
      <c r="D56" s="43"/>
      <c r="E56" s="1">
        <f>D56/D51*100</f>
        <v>0</v>
      </c>
      <c r="F56" s="1">
        <f>D56/B56*100</f>
        <v>0</v>
      </c>
      <c r="G56" s="1">
        <f>D56/C56*100</f>
        <v>0</v>
      </c>
      <c r="H56" s="44">
        <f t="shared" si="7"/>
        <v>86.5</v>
      </c>
      <c r="I56" s="44">
        <f t="shared" si="5"/>
        <v>518.9</v>
      </c>
    </row>
    <row r="57" spans="1:9" ht="18.75" thickBot="1">
      <c r="A57" s="23" t="s">
        <v>28</v>
      </c>
      <c r="B57" s="43">
        <f>B51-B52-B55-B54-B53-B56</f>
        <v>1049.1000000000001</v>
      </c>
      <c r="C57" s="43">
        <f>C51-C52-C55-C54-C53-C56</f>
        <v>4978.300000000002</v>
      </c>
      <c r="D57" s="43">
        <f>D51-D52-D55-D54-D53-D56</f>
        <v>318.9000000000003</v>
      </c>
      <c r="E57" s="1">
        <f>D57/D51*100</f>
        <v>21.991586787118152</v>
      </c>
      <c r="F57" s="1">
        <f t="shared" si="6"/>
        <v>30.397483557334887</v>
      </c>
      <c r="G57" s="1">
        <f t="shared" si="4"/>
        <v>6.405801177108655</v>
      </c>
      <c r="H57" s="44">
        <f>B57-D57</f>
        <v>730.1999999999998</v>
      </c>
      <c r="I57" s="44">
        <f>C57-D57</f>
        <v>4659.4000000000015</v>
      </c>
    </row>
    <row r="58" spans="1:9" s="37" customFormat="1" ht="19.5" hidden="1" thickBot="1">
      <c r="A58" s="96" t="s">
        <v>67</v>
      </c>
      <c r="B58" s="94"/>
      <c r="C58" s="94"/>
      <c r="D58" s="94"/>
      <c r="E58" s="1"/>
      <c r="F58" s="95" t="e">
        <f t="shared" si="6"/>
        <v>#DIV/0!</v>
      </c>
      <c r="G58" s="95" t="e">
        <f t="shared" si="4"/>
        <v>#DIV/0!</v>
      </c>
      <c r="H58" s="105">
        <f t="shared" si="7"/>
        <v>0</v>
      </c>
      <c r="I58" s="105">
        <f>C58-D58</f>
        <v>0</v>
      </c>
    </row>
    <row r="59" spans="1:9" ht="18.75" thickBot="1">
      <c r="A59" s="22" t="s">
        <v>6</v>
      </c>
      <c r="B59" s="45">
        <v>630</v>
      </c>
      <c r="C59" s="46">
        <v>7844.6</v>
      </c>
      <c r="D59" s="47">
        <f>55.6+0.2+146.1</f>
        <v>201.9</v>
      </c>
      <c r="E59" s="3">
        <f>D59/D150*100</f>
        <v>0.19498373204078143</v>
      </c>
      <c r="F59" s="3">
        <f>D59/B59*100</f>
        <v>32.047619047619044</v>
      </c>
      <c r="G59" s="3">
        <f t="shared" si="4"/>
        <v>2.573744996558142</v>
      </c>
      <c r="H59" s="47">
        <f>B59-D59</f>
        <v>428.1</v>
      </c>
      <c r="I59" s="47">
        <f t="shared" si="5"/>
        <v>7642.700000000001</v>
      </c>
    </row>
    <row r="60" spans="1:9" ht="18">
      <c r="A60" s="23" t="s">
        <v>3</v>
      </c>
      <c r="B60" s="42">
        <v>470.8</v>
      </c>
      <c r="C60" s="43">
        <v>2900.3</v>
      </c>
      <c r="D60" s="44">
        <f>55.6+146.1</f>
        <v>201.7</v>
      </c>
      <c r="E60" s="1">
        <f>D60/D59*100</f>
        <v>99.90094105993064</v>
      </c>
      <c r="F60" s="1">
        <f t="shared" si="6"/>
        <v>42.84197111299915</v>
      </c>
      <c r="G60" s="1">
        <f t="shared" si="4"/>
        <v>6.954452987621969</v>
      </c>
      <c r="H60" s="44">
        <f t="shared" si="7"/>
        <v>269.1</v>
      </c>
      <c r="I60" s="44">
        <f t="shared" si="5"/>
        <v>2698.6000000000004</v>
      </c>
    </row>
    <row r="61" spans="1:9" ht="18">
      <c r="A61" s="23" t="s">
        <v>1</v>
      </c>
      <c r="B61" s="42">
        <v>0</v>
      </c>
      <c r="C61" s="43">
        <v>337.1</v>
      </c>
      <c r="D61" s="44"/>
      <c r="E61" s="1">
        <f>D61/D59*100</f>
        <v>0</v>
      </c>
      <c r="F61" s="103" t="e">
        <f>D61/B61*100</f>
        <v>#DIV/0!</v>
      </c>
      <c r="G61" s="1">
        <f t="shared" si="4"/>
        <v>0</v>
      </c>
      <c r="H61" s="44">
        <f t="shared" si="7"/>
        <v>0</v>
      </c>
      <c r="I61" s="44">
        <f t="shared" si="5"/>
        <v>337.1</v>
      </c>
    </row>
    <row r="62" spans="1:9" ht="18">
      <c r="A62" s="23" t="s">
        <v>0</v>
      </c>
      <c r="B62" s="42">
        <v>154</v>
      </c>
      <c r="C62" s="43">
        <v>451.8</v>
      </c>
      <c r="D62" s="44"/>
      <c r="E62" s="1">
        <f>D62/D59*100</f>
        <v>0</v>
      </c>
      <c r="F62" s="1">
        <f t="shared" si="6"/>
        <v>0</v>
      </c>
      <c r="G62" s="1">
        <f t="shared" si="4"/>
        <v>0</v>
      </c>
      <c r="H62" s="44">
        <f t="shared" si="7"/>
        <v>154</v>
      </c>
      <c r="I62" s="44">
        <f t="shared" si="5"/>
        <v>451.8</v>
      </c>
    </row>
    <row r="63" spans="1:9" ht="18">
      <c r="A63" s="23" t="s">
        <v>14</v>
      </c>
      <c r="B63" s="42">
        <v>0</v>
      </c>
      <c r="C63" s="43">
        <v>3707.1</v>
      </c>
      <c r="D63" s="44"/>
      <c r="E63" s="1">
        <f>D63/D59*100</f>
        <v>0</v>
      </c>
      <c r="F63" s="103" t="e">
        <f t="shared" si="6"/>
        <v>#DIV/0!</v>
      </c>
      <c r="G63" s="1">
        <f t="shared" si="4"/>
        <v>0</v>
      </c>
      <c r="H63" s="44">
        <f t="shared" si="7"/>
        <v>0</v>
      </c>
      <c r="I63" s="44">
        <f t="shared" si="5"/>
        <v>3707.1</v>
      </c>
    </row>
    <row r="64" spans="1:9" ht="18.75" thickBot="1">
      <c r="A64" s="23" t="s">
        <v>28</v>
      </c>
      <c r="B64" s="43">
        <f>B59-B60-B62-B63-B61</f>
        <v>5.199999999999989</v>
      </c>
      <c r="C64" s="43">
        <f>C59-C60-C62-C63-C61</f>
        <v>448.30000000000007</v>
      </c>
      <c r="D64" s="43">
        <f>D59-D60-D62-D63-D61</f>
        <v>0.20000000000001705</v>
      </c>
      <c r="E64" s="1">
        <f>D64/D59*100</f>
        <v>0.0990589400693497</v>
      </c>
      <c r="F64" s="1">
        <f t="shared" si="6"/>
        <v>3.8461538461541824</v>
      </c>
      <c r="G64" s="1">
        <f t="shared" si="4"/>
        <v>0.04461298237787576</v>
      </c>
      <c r="H64" s="44">
        <f t="shared" si="7"/>
        <v>4.999999999999972</v>
      </c>
      <c r="I64" s="44">
        <f t="shared" si="5"/>
        <v>448.1</v>
      </c>
    </row>
    <row r="65" spans="1:9" s="37" customFormat="1" ht="19.5" hidden="1" thickBot="1">
      <c r="A65" s="96" t="s">
        <v>78</v>
      </c>
      <c r="B65" s="94"/>
      <c r="C65" s="94"/>
      <c r="D65" s="94"/>
      <c r="E65" s="95"/>
      <c r="F65" s="95" t="e">
        <f>D65/B65*100</f>
        <v>#DIV/0!</v>
      </c>
      <c r="G65" s="95" t="e">
        <f>D65/C65*100</f>
        <v>#DIV/0!</v>
      </c>
      <c r="H65" s="105">
        <f t="shared" si="7"/>
        <v>0</v>
      </c>
      <c r="I65" s="105">
        <f t="shared" si="5"/>
        <v>0</v>
      </c>
    </row>
    <row r="66" spans="1:9" s="37" customFormat="1" ht="19.5" hidden="1" thickBot="1">
      <c r="A66" s="96" t="s">
        <v>64</v>
      </c>
      <c r="B66" s="94"/>
      <c r="C66" s="94"/>
      <c r="D66" s="94"/>
      <c r="E66" s="95"/>
      <c r="F66" s="95" t="e">
        <f t="shared" si="6"/>
        <v>#DIV/0!</v>
      </c>
      <c r="G66" s="95" t="e">
        <f t="shared" si="4"/>
        <v>#DIV/0!</v>
      </c>
      <c r="H66" s="105">
        <f t="shared" si="7"/>
        <v>0</v>
      </c>
      <c r="I66" s="105">
        <f t="shared" si="5"/>
        <v>0</v>
      </c>
    </row>
    <row r="67" spans="1:9" s="37" customFormat="1" ht="19.5" hidden="1" thickBot="1">
      <c r="A67" s="96" t="s">
        <v>65</v>
      </c>
      <c r="B67" s="94"/>
      <c r="C67" s="94"/>
      <c r="D67" s="94"/>
      <c r="E67" s="95"/>
      <c r="F67" s="95" t="e">
        <f t="shared" si="6"/>
        <v>#DIV/0!</v>
      </c>
      <c r="G67" s="95" t="e">
        <f t="shared" si="4"/>
        <v>#DIV/0!</v>
      </c>
      <c r="H67" s="105">
        <f t="shared" si="7"/>
        <v>0</v>
      </c>
      <c r="I67" s="105">
        <f t="shared" si="5"/>
        <v>0</v>
      </c>
    </row>
    <row r="68" spans="1:9" s="37" customFormat="1" ht="19.5" hidden="1" thickBot="1">
      <c r="A68" s="96" t="s">
        <v>66</v>
      </c>
      <c r="B68" s="94"/>
      <c r="C68" s="94"/>
      <c r="D68" s="94"/>
      <c r="E68" s="95"/>
      <c r="F68" s="95" t="e">
        <f t="shared" si="6"/>
        <v>#DIV/0!</v>
      </c>
      <c r="G68" s="95" t="e">
        <f t="shared" si="4"/>
        <v>#DIV/0!</v>
      </c>
      <c r="H68" s="105">
        <f t="shared" si="7"/>
        <v>0</v>
      </c>
      <c r="I68" s="105">
        <f t="shared" si="5"/>
        <v>0</v>
      </c>
    </row>
    <row r="69" spans="1:9" ht="18.75" thickBot="1">
      <c r="A69" s="22" t="s">
        <v>20</v>
      </c>
      <c r="B69" s="46">
        <f>B70+B71</f>
        <v>169.70000000000002</v>
      </c>
      <c r="C69" s="46">
        <f>C70+C71</f>
        <v>477.7</v>
      </c>
      <c r="D69" s="47">
        <f>SUM(D70:D71)</f>
        <v>0</v>
      </c>
      <c r="E69" s="35">
        <f>D69/D150*100</f>
        <v>0</v>
      </c>
      <c r="F69" s="3">
        <f>D69/B69*100</f>
        <v>0</v>
      </c>
      <c r="G69" s="3">
        <f t="shared" si="4"/>
        <v>0</v>
      </c>
      <c r="H69" s="47">
        <f>B69-D69</f>
        <v>169.70000000000002</v>
      </c>
      <c r="I69" s="47">
        <f t="shared" si="5"/>
        <v>477.7</v>
      </c>
    </row>
    <row r="70" spans="1:9" ht="18">
      <c r="A70" s="23" t="s">
        <v>8</v>
      </c>
      <c r="B70" s="42">
        <v>137.8</v>
      </c>
      <c r="C70" s="43">
        <v>203.8</v>
      </c>
      <c r="D70" s="44"/>
      <c r="E70" s="1" t="e">
        <f>D70/D69*100</f>
        <v>#DIV/0!</v>
      </c>
      <c r="F70" s="1">
        <f t="shared" si="6"/>
        <v>0</v>
      </c>
      <c r="G70" s="1">
        <f t="shared" si="4"/>
        <v>0</v>
      </c>
      <c r="H70" s="44">
        <f t="shared" si="7"/>
        <v>137.8</v>
      </c>
      <c r="I70" s="44">
        <f t="shared" si="5"/>
        <v>203.8</v>
      </c>
    </row>
    <row r="71" spans="1:9" ht="18.75" thickBot="1">
      <c r="A71" s="23" t="s">
        <v>9</v>
      </c>
      <c r="B71" s="42">
        <v>31.9</v>
      </c>
      <c r="C71" s="43">
        <v>273.9</v>
      </c>
      <c r="D71" s="44"/>
      <c r="E71" s="1" t="e">
        <f>D71/D70*100</f>
        <v>#DIV/0!</v>
      </c>
      <c r="F71" s="1">
        <f t="shared" si="6"/>
        <v>0</v>
      </c>
      <c r="G71" s="1">
        <f t="shared" si="4"/>
        <v>0</v>
      </c>
      <c r="H71" s="44">
        <f t="shared" si="7"/>
        <v>31.9</v>
      </c>
      <c r="I71" s="44">
        <f t="shared" si="5"/>
        <v>273.9</v>
      </c>
    </row>
    <row r="72" spans="1:9" ht="38.25" hidden="1" thickBot="1">
      <c r="A72" s="13" t="s">
        <v>42</v>
      </c>
      <c r="B72" s="54"/>
      <c r="C72" s="46">
        <f>C73+C74+C75+C76</f>
        <v>0</v>
      </c>
      <c r="D72" s="46">
        <f>D73+D74+D75+D76</f>
        <v>0</v>
      </c>
      <c r="E72" s="3">
        <f>D72/D150*100</f>
        <v>0</v>
      </c>
      <c r="F72" s="3" t="e">
        <f>D72/B72*100</f>
        <v>#DIV/0!</v>
      </c>
      <c r="G72" s="3" t="e">
        <f t="shared" si="4"/>
        <v>#DIV/0!</v>
      </c>
      <c r="H72" s="47">
        <f>B72-D72</f>
        <v>0</v>
      </c>
      <c r="I72" s="47">
        <f t="shared" si="5"/>
        <v>0</v>
      </c>
    </row>
    <row r="73" spans="1:9" ht="18.75" hidden="1">
      <c r="A73" s="18" t="s">
        <v>46</v>
      </c>
      <c r="B73" s="51"/>
      <c r="C73" s="58"/>
      <c r="D73" s="49"/>
      <c r="E73" s="30" t="e">
        <f>D73/D72*100</f>
        <v>#DIV/0!</v>
      </c>
      <c r="F73" s="1" t="e">
        <f t="shared" si="6"/>
        <v>#DIV/0!</v>
      </c>
      <c r="G73" s="1" t="e">
        <f t="shared" si="4"/>
        <v>#DIV/0!</v>
      </c>
      <c r="H73" s="44">
        <f t="shared" si="7"/>
        <v>0</v>
      </c>
      <c r="I73" s="44">
        <f t="shared" si="5"/>
        <v>0</v>
      </c>
    </row>
    <row r="74" spans="1:9" ht="18.75" hidden="1">
      <c r="A74" s="18" t="s">
        <v>47</v>
      </c>
      <c r="B74" s="51"/>
      <c r="C74" s="58"/>
      <c r="D74" s="49"/>
      <c r="E74" s="30" t="e">
        <f>D74/D72*100</f>
        <v>#DIV/0!</v>
      </c>
      <c r="F74" s="1" t="e">
        <f t="shared" si="6"/>
        <v>#DIV/0!</v>
      </c>
      <c r="G74" s="1" t="e">
        <f t="shared" si="4"/>
        <v>#DIV/0!</v>
      </c>
      <c r="H74" s="44">
        <f t="shared" si="7"/>
        <v>0</v>
      </c>
      <c r="I74" s="44">
        <f t="shared" si="5"/>
        <v>0</v>
      </c>
    </row>
    <row r="75" spans="1:9" ht="18.75" hidden="1">
      <c r="A75" s="24" t="s">
        <v>35</v>
      </c>
      <c r="B75" s="59"/>
      <c r="C75" s="60"/>
      <c r="D75" s="61"/>
      <c r="E75" s="30" t="e">
        <f>D75/D72*100</f>
        <v>#DIV/0!</v>
      </c>
      <c r="F75" s="30"/>
      <c r="G75" s="1" t="e">
        <f t="shared" si="4"/>
        <v>#DIV/0!</v>
      </c>
      <c r="H75" s="44"/>
      <c r="I75" s="44">
        <f t="shared" si="5"/>
        <v>0</v>
      </c>
    </row>
    <row r="76" spans="1:9" ht="19.5" hidden="1" thickBot="1">
      <c r="A76" s="24" t="s">
        <v>43</v>
      </c>
      <c r="B76" s="59"/>
      <c r="C76" s="60"/>
      <c r="D76" s="61"/>
      <c r="E76" s="30" t="e">
        <f>D76/D72*100</f>
        <v>#DIV/0!</v>
      </c>
      <c r="F76" s="30"/>
      <c r="G76" s="1" t="e">
        <f t="shared" si="4"/>
        <v>#DIV/0!</v>
      </c>
      <c r="H76" s="44"/>
      <c r="I76" s="44">
        <f t="shared" si="5"/>
        <v>0</v>
      </c>
    </row>
    <row r="77" spans="1:9" s="37" customFormat="1" ht="19.5" thickBot="1">
      <c r="A77" s="25" t="s">
        <v>13</v>
      </c>
      <c r="B77" s="55">
        <v>1666.7</v>
      </c>
      <c r="C77" s="62">
        <v>10000</v>
      </c>
      <c r="D77" s="63"/>
      <c r="E77" s="41"/>
      <c r="F77" s="41"/>
      <c r="G77" s="41"/>
      <c r="H77" s="63">
        <f>B77-D77</f>
        <v>1666.7</v>
      </c>
      <c r="I77" s="63">
        <f t="shared" si="5"/>
        <v>10000</v>
      </c>
    </row>
    <row r="78" spans="1:9" ht="8.25" customHeight="1" thickBot="1">
      <c r="A78" s="18"/>
      <c r="B78" s="51"/>
      <c r="C78" s="60"/>
      <c r="D78" s="61"/>
      <c r="E78" s="6"/>
      <c r="F78" s="6"/>
      <c r="G78" s="6"/>
      <c r="H78" s="61"/>
      <c r="I78" s="121"/>
    </row>
    <row r="79" spans="1:9" ht="18.75" customHeight="1" hidden="1" thickBot="1">
      <c r="A79" s="13" t="s">
        <v>58</v>
      </c>
      <c r="B79" s="54"/>
      <c r="C79" s="46"/>
      <c r="D79" s="46"/>
      <c r="E79" s="3">
        <f>D79/D150*100</f>
        <v>0</v>
      </c>
      <c r="F79" s="3" t="e">
        <f>D79/B79*100</f>
        <v>#DIV/0!</v>
      </c>
      <c r="G79" s="3" t="e">
        <f aca="true" t="shared" si="8" ref="G79:G93">D79/C79*100</f>
        <v>#DIV/0!</v>
      </c>
      <c r="H79" s="47">
        <f>B79-D79</f>
        <v>0</v>
      </c>
      <c r="I79" s="47">
        <f aca="true" t="shared" si="9" ref="I79:I93">C79-D79</f>
        <v>0</v>
      </c>
    </row>
    <row r="80" spans="1:9" s="8" customFormat="1" ht="18.75" hidden="1" thickBot="1">
      <c r="A80" s="9" t="s">
        <v>57</v>
      </c>
      <c r="B80" s="64"/>
      <c r="C80" s="43"/>
      <c r="D80" s="44"/>
      <c r="E80" s="93"/>
      <c r="F80" s="1" t="e">
        <f>D80/B80*100</f>
        <v>#DIV/0!</v>
      </c>
      <c r="G80" s="1" t="e">
        <f t="shared" si="8"/>
        <v>#DIV/0!</v>
      </c>
      <c r="H80" s="44">
        <f>B80-D80</f>
        <v>0</v>
      </c>
      <c r="I80" s="44">
        <f t="shared" si="9"/>
        <v>0</v>
      </c>
    </row>
    <row r="81" spans="1:9" s="8" customFormat="1" ht="31.5" hidden="1" thickBot="1">
      <c r="A81" s="9" t="s">
        <v>54</v>
      </c>
      <c r="B81" s="64"/>
      <c r="C81" s="43"/>
      <c r="D81" s="44"/>
      <c r="E81" s="93"/>
      <c r="F81" s="1" t="e">
        <f>D81/B81*100</f>
        <v>#DIV/0!</v>
      </c>
      <c r="G81" s="1" t="e">
        <f t="shared" si="8"/>
        <v>#DIV/0!</v>
      </c>
      <c r="H81" s="44">
        <f>B81-D81</f>
        <v>0</v>
      </c>
      <c r="I81" s="44">
        <f t="shared" si="9"/>
        <v>0</v>
      </c>
    </row>
    <row r="82" spans="1:9" s="8" customFormat="1" ht="16.5" customHeight="1" hidden="1">
      <c r="A82" s="9" t="s">
        <v>34</v>
      </c>
      <c r="B82" s="64"/>
      <c r="C82" s="43"/>
      <c r="D82" s="44"/>
      <c r="E82" s="1" t="e">
        <f>D82/D79*100</f>
        <v>#DIV/0!</v>
      </c>
      <c r="F82" s="1"/>
      <c r="G82" s="1" t="e">
        <f t="shared" si="8"/>
        <v>#DIV/0!</v>
      </c>
      <c r="H82" s="44"/>
      <c r="I82" s="44">
        <f t="shared" si="9"/>
        <v>0</v>
      </c>
    </row>
    <row r="83" spans="1:9" s="8" customFormat="1" ht="33" customHeight="1" hidden="1" thickBot="1">
      <c r="A83" s="9" t="s">
        <v>40</v>
      </c>
      <c r="B83" s="64"/>
      <c r="C83" s="43"/>
      <c r="D83" s="43"/>
      <c r="E83" s="1" t="e">
        <f>D83/D79*100</f>
        <v>#DIV/0!</v>
      </c>
      <c r="F83" s="1"/>
      <c r="G83" s="1" t="e">
        <f t="shared" si="8"/>
        <v>#DIV/0!</v>
      </c>
      <c r="H83" s="44"/>
      <c r="I83" s="44">
        <f t="shared" si="9"/>
        <v>0</v>
      </c>
    </row>
    <row r="84" spans="1:9" ht="35.25" customHeight="1" hidden="1" thickBot="1">
      <c r="A84" s="13" t="s">
        <v>36</v>
      </c>
      <c r="B84" s="54"/>
      <c r="C84" s="46"/>
      <c r="D84" s="46"/>
      <c r="E84" s="3">
        <f>D84/D150*100</f>
        <v>0</v>
      </c>
      <c r="F84" s="3"/>
      <c r="G84" s="3" t="e">
        <f t="shared" si="8"/>
        <v>#DIV/0!</v>
      </c>
      <c r="H84" s="47"/>
      <c r="I84" s="47">
        <f t="shared" si="9"/>
        <v>0</v>
      </c>
    </row>
    <row r="85" spans="1:9" ht="16.5" customHeight="1" hidden="1">
      <c r="A85" s="23" t="s">
        <v>24</v>
      </c>
      <c r="B85" s="42"/>
      <c r="C85" s="60"/>
      <c r="D85" s="60"/>
      <c r="E85" s="6" t="e">
        <f>D85/D84*100</f>
        <v>#DIV/0!</v>
      </c>
      <c r="F85" s="6"/>
      <c r="G85" s="6" t="e">
        <f t="shared" si="8"/>
        <v>#DIV/0!</v>
      </c>
      <c r="H85" s="61"/>
      <c r="I85" s="44">
        <f t="shared" si="9"/>
        <v>0</v>
      </c>
    </row>
    <row r="86" spans="1:9" ht="16.5" customHeight="1" hidden="1" thickBot="1">
      <c r="A86" s="23" t="s">
        <v>25</v>
      </c>
      <c r="B86" s="42"/>
      <c r="C86" s="60"/>
      <c r="D86" s="60"/>
      <c r="E86" s="6" t="e">
        <f>D86/D84*100</f>
        <v>#DIV/0!</v>
      </c>
      <c r="F86" s="6"/>
      <c r="G86" s="6" t="e">
        <f t="shared" si="8"/>
        <v>#DIV/0!</v>
      </c>
      <c r="H86" s="61"/>
      <c r="I86" s="44">
        <f t="shared" si="9"/>
        <v>0</v>
      </c>
    </row>
    <row r="87" spans="1:9" ht="34.5" customHeight="1" hidden="1" thickBot="1">
      <c r="A87" s="13" t="s">
        <v>37</v>
      </c>
      <c r="B87" s="54"/>
      <c r="C87" s="46"/>
      <c r="D87" s="46"/>
      <c r="E87" s="3">
        <f>D87/D150*100</f>
        <v>0</v>
      </c>
      <c r="F87" s="3"/>
      <c r="G87" s="3" t="e">
        <f t="shared" si="8"/>
        <v>#DIV/0!</v>
      </c>
      <c r="H87" s="47"/>
      <c r="I87" s="47">
        <f t="shared" si="9"/>
        <v>0</v>
      </c>
    </row>
    <row r="88" spans="1:9" ht="17.25" customHeight="1" hidden="1">
      <c r="A88" s="23" t="s">
        <v>24</v>
      </c>
      <c r="B88" s="42"/>
      <c r="C88" s="43"/>
      <c r="D88" s="44"/>
      <c r="E88" s="1" t="e">
        <f>D88/D87*100</f>
        <v>#DIV/0!</v>
      </c>
      <c r="F88" s="1"/>
      <c r="G88" s="1" t="e">
        <f t="shared" si="8"/>
        <v>#DIV/0!</v>
      </c>
      <c r="H88" s="44"/>
      <c r="I88" s="44">
        <f t="shared" si="9"/>
        <v>0</v>
      </c>
    </row>
    <row r="89" spans="1:9" ht="17.25" customHeight="1" hidden="1" thickBot="1">
      <c r="A89" s="23" t="s">
        <v>25</v>
      </c>
      <c r="B89" s="42"/>
      <c r="C89" s="43"/>
      <c r="D89" s="44"/>
      <c r="E89" s="1" t="e">
        <f>D89/D87*100</f>
        <v>#DIV/0!</v>
      </c>
      <c r="F89" s="1"/>
      <c r="G89" s="1" t="e">
        <f t="shared" si="8"/>
        <v>#DIV/0!</v>
      </c>
      <c r="H89" s="44"/>
      <c r="I89" s="44">
        <f t="shared" si="9"/>
        <v>0</v>
      </c>
    </row>
    <row r="90" spans="1:9" ht="19.5" thickBot="1">
      <c r="A90" s="13" t="s">
        <v>10</v>
      </c>
      <c r="B90" s="54">
        <v>27560.3</v>
      </c>
      <c r="C90" s="46">
        <v>157960</v>
      </c>
      <c r="D90" s="47">
        <f>4.8+1016.5+864.1+250.6+6.8+2.9+10.6+5.5+0.6+1.5+29.3+1648.7+1618.2+708.6+2+22.6</f>
        <v>6193.300000000001</v>
      </c>
      <c r="E90" s="3">
        <f>D90/D150*100</f>
        <v>5.98114288087257</v>
      </c>
      <c r="F90" s="3">
        <f aca="true" t="shared" si="10" ref="F90:F96">D90/B90*100</f>
        <v>22.471816344524555</v>
      </c>
      <c r="G90" s="3">
        <f t="shared" si="8"/>
        <v>3.9208027348695875</v>
      </c>
      <c r="H90" s="47">
        <f aca="true" t="shared" si="11" ref="H90:H96">B90-D90</f>
        <v>21367</v>
      </c>
      <c r="I90" s="47">
        <f t="shared" si="9"/>
        <v>151766.7</v>
      </c>
    </row>
    <row r="91" spans="1:9" ht="18">
      <c r="A91" s="23" t="s">
        <v>3</v>
      </c>
      <c r="B91" s="42">
        <v>25301.7</v>
      </c>
      <c r="C91" s="43">
        <v>148246.2</v>
      </c>
      <c r="D91" s="44">
        <f>1016.5+861.2+216.8+0.1+15.6+1633.8+1584.8+610.3+2</f>
        <v>5941.1</v>
      </c>
      <c r="E91" s="1">
        <f>D91/D90*100</f>
        <v>95.92785752345276</v>
      </c>
      <c r="F91" s="1">
        <f t="shared" si="10"/>
        <v>23.481030918871067</v>
      </c>
      <c r="G91" s="1">
        <f t="shared" si="8"/>
        <v>4.007590076507863</v>
      </c>
      <c r="H91" s="44">
        <f t="shared" si="11"/>
        <v>19360.6</v>
      </c>
      <c r="I91" s="44">
        <f t="shared" si="9"/>
        <v>142305.1</v>
      </c>
    </row>
    <row r="92" spans="1:9" ht="18">
      <c r="A92" s="23" t="s">
        <v>26</v>
      </c>
      <c r="B92" s="42">
        <v>811.7</v>
      </c>
      <c r="C92" s="43">
        <v>2620.6</v>
      </c>
      <c r="D92" s="44">
        <f>48.5</f>
        <v>48.5</v>
      </c>
      <c r="E92" s="1">
        <f>D92/D90*100</f>
        <v>0.7831043224129299</v>
      </c>
      <c r="F92" s="1">
        <f t="shared" si="10"/>
        <v>5.975113958358999</v>
      </c>
      <c r="G92" s="1">
        <f t="shared" si="8"/>
        <v>1.850721208883462</v>
      </c>
      <c r="H92" s="44">
        <f t="shared" si="11"/>
        <v>763.2</v>
      </c>
      <c r="I92" s="44">
        <f t="shared" si="9"/>
        <v>2572.1</v>
      </c>
    </row>
    <row r="93" spans="1:9" ht="18" hidden="1">
      <c r="A93" s="23" t="s">
        <v>14</v>
      </c>
      <c r="B93" s="42"/>
      <c r="C93" s="43"/>
      <c r="D93" s="43"/>
      <c r="E93" s="12">
        <f>D93/D90*100</f>
        <v>0</v>
      </c>
      <c r="F93" s="1"/>
      <c r="G93" s="1" t="e">
        <f t="shared" si="8"/>
        <v>#DIV/0!</v>
      </c>
      <c r="H93" s="44">
        <f t="shared" si="11"/>
        <v>0</v>
      </c>
      <c r="I93" s="44">
        <f t="shared" si="9"/>
        <v>0</v>
      </c>
    </row>
    <row r="94" spans="1:9" ht="18.75" thickBot="1">
      <c r="A94" s="23" t="s">
        <v>28</v>
      </c>
      <c r="B94" s="43">
        <f>B90-B91-B92-B93</f>
        <v>1446.8999999999985</v>
      </c>
      <c r="C94" s="43">
        <f>C90-C91-C92-C93</f>
        <v>7093.199999999988</v>
      </c>
      <c r="D94" s="43">
        <f>D90-D91-D92-D93</f>
        <v>203.70000000000073</v>
      </c>
      <c r="E94" s="1">
        <f>D94/D90*100</f>
        <v>3.2890381541343174</v>
      </c>
      <c r="F94" s="1">
        <f t="shared" si="10"/>
        <v>14.078374455733012</v>
      </c>
      <c r="G94" s="1">
        <f>D94/C94*100</f>
        <v>2.8717645068516475</v>
      </c>
      <c r="H94" s="44">
        <f t="shared" si="11"/>
        <v>1243.1999999999978</v>
      </c>
      <c r="I94" s="44">
        <f>C94-D94</f>
        <v>6889.499999999987</v>
      </c>
    </row>
    <row r="95" spans="1:9" ht="18.75">
      <c r="A95" s="108" t="s">
        <v>12</v>
      </c>
      <c r="B95" s="111">
        <v>10866.3</v>
      </c>
      <c r="C95" s="113">
        <v>59880.5</v>
      </c>
      <c r="D95" s="112">
        <f>158.8+434.4+321.9+32+1220.1+1621.7</f>
        <v>3788.8999999999996</v>
      </c>
      <c r="E95" s="107">
        <f>D95/D150*100</f>
        <v>3.6591077876637774</v>
      </c>
      <c r="F95" s="110">
        <f t="shared" si="10"/>
        <v>34.86835445367789</v>
      </c>
      <c r="G95" s="106">
        <f>D95/C95*100</f>
        <v>6.3274354756556805</v>
      </c>
      <c r="H95" s="112">
        <f t="shared" si="11"/>
        <v>7077.4</v>
      </c>
      <c r="I95" s="122">
        <f>C95-D95</f>
        <v>56091.6</v>
      </c>
    </row>
    <row r="96" spans="1:9" ht="18.75" thickBot="1">
      <c r="A96" s="109" t="s">
        <v>85</v>
      </c>
      <c r="B96" s="114">
        <v>2118.9</v>
      </c>
      <c r="C96" s="115">
        <v>10660.3</v>
      </c>
      <c r="D96" s="116">
        <f>69.1</f>
        <v>69.1</v>
      </c>
      <c r="E96" s="117">
        <f>D96/D95*100</f>
        <v>1.8237483174536144</v>
      </c>
      <c r="F96" s="118">
        <f t="shared" si="10"/>
        <v>3.261126055972438</v>
      </c>
      <c r="G96" s="119">
        <f>D96/C96*100</f>
        <v>0.6481993940133016</v>
      </c>
      <c r="H96" s="123">
        <f t="shared" si="11"/>
        <v>2049.8</v>
      </c>
      <c r="I96" s="124">
        <f>C96-D96</f>
        <v>10591.199999999999</v>
      </c>
    </row>
    <row r="97" spans="1:9" ht="8.25" customHeight="1" thickBot="1">
      <c r="A97" s="18"/>
      <c r="B97" s="51"/>
      <c r="C97" s="60"/>
      <c r="D97" s="61"/>
      <c r="E97" s="6"/>
      <c r="F97" s="6"/>
      <c r="G97" s="6"/>
      <c r="H97" s="61"/>
      <c r="I97" s="61"/>
    </row>
    <row r="98" spans="1:9" ht="19.5" hidden="1" thickBot="1">
      <c r="A98" s="27" t="s">
        <v>38</v>
      </c>
      <c r="B98" s="68"/>
      <c r="C98" s="69"/>
      <c r="D98" s="70"/>
      <c r="E98" s="3">
        <f>D98/D150*100</f>
        <v>0</v>
      </c>
      <c r="F98" s="3"/>
      <c r="G98" s="3" t="e">
        <f>D98/C98*100</f>
        <v>#DIV/0!</v>
      </c>
      <c r="H98" s="47"/>
      <c r="I98" s="47">
        <f>C98-D98</f>
        <v>0</v>
      </c>
    </row>
    <row r="99" spans="1:9" ht="5.25" customHeight="1" hidden="1" thickBot="1">
      <c r="A99" s="26"/>
      <c r="B99" s="65"/>
      <c r="C99" s="66"/>
      <c r="D99" s="67"/>
      <c r="E99" s="14"/>
      <c r="F99" s="6"/>
      <c r="G99" s="6"/>
      <c r="H99" s="61"/>
      <c r="I99" s="121"/>
    </row>
    <row r="100" spans="1:9" s="15" customFormat="1" ht="36" customHeight="1" hidden="1" thickBot="1">
      <c r="A100" s="13" t="s">
        <v>52</v>
      </c>
      <c r="B100" s="54"/>
      <c r="C100" s="46"/>
      <c r="D100" s="47"/>
      <c r="E100" s="3">
        <f>D100/D150*100</f>
        <v>0</v>
      </c>
      <c r="F100" s="3" t="e">
        <f>D100/B100*100</f>
        <v>#DIV/0!</v>
      </c>
      <c r="G100" s="3" t="e">
        <f>D100/C100*100</f>
        <v>#DIV/0!</v>
      </c>
      <c r="H100" s="47">
        <f>B100-D100</f>
        <v>0</v>
      </c>
      <c r="I100" s="47">
        <f>C100-D100</f>
        <v>0</v>
      </c>
    </row>
    <row r="101" spans="1:9" ht="6.75" customHeight="1" hidden="1" thickBot="1">
      <c r="A101" s="100"/>
      <c r="B101" s="101"/>
      <c r="C101" s="66"/>
      <c r="D101" s="67"/>
      <c r="E101" s="14"/>
      <c r="F101" s="6"/>
      <c r="G101" s="6"/>
      <c r="H101" s="61"/>
      <c r="I101" s="121"/>
    </row>
    <row r="102" spans="1:9" s="37" customFormat="1" ht="19.5" thickBot="1">
      <c r="A102" s="13" t="s">
        <v>11</v>
      </c>
      <c r="B102" s="54">
        <f>2305.2-58</f>
        <v>2247.2</v>
      </c>
      <c r="C102" s="92">
        <f>12999.2-348</f>
        <v>12651.2</v>
      </c>
      <c r="D102" s="79">
        <f>139.4+4+202+15.3+32.9+18.1+0.4</f>
        <v>412.09999999999997</v>
      </c>
      <c r="E102" s="19">
        <f>D102/D150*100</f>
        <v>0.3979831400396534</v>
      </c>
      <c r="F102" s="19">
        <f>D102/B102*100</f>
        <v>18.338376646493415</v>
      </c>
      <c r="G102" s="19">
        <f aca="true" t="shared" si="12" ref="G102:G148">D102/C102*100</f>
        <v>3.2573985076514473</v>
      </c>
      <c r="H102" s="79">
        <f aca="true" t="shared" si="13" ref="H102:H107">B102-D102</f>
        <v>1835.1</v>
      </c>
      <c r="I102" s="79">
        <f aca="true" t="shared" si="14" ref="I102:I148">C102-D102</f>
        <v>12239.1</v>
      </c>
    </row>
    <row r="103" spans="1:9" ht="18">
      <c r="A103" s="23" t="s">
        <v>3</v>
      </c>
      <c r="B103" s="89">
        <v>0</v>
      </c>
      <c r="C103" s="87">
        <v>259.1</v>
      </c>
      <c r="D103" s="87"/>
      <c r="E103" s="83">
        <f>D103/D102*100</f>
        <v>0</v>
      </c>
      <c r="F103" s="103" t="e">
        <f>D103/B103*100</f>
        <v>#DIV/0!</v>
      </c>
      <c r="G103" s="83">
        <f>D103/C103*100</f>
        <v>0</v>
      </c>
      <c r="H103" s="87">
        <f t="shared" si="13"/>
        <v>0</v>
      </c>
      <c r="I103" s="87">
        <f t="shared" si="14"/>
        <v>259.1</v>
      </c>
    </row>
    <row r="104" spans="1:9" ht="18">
      <c r="A104" s="85" t="s">
        <v>49</v>
      </c>
      <c r="B104" s="74">
        <f>1978.6-58</f>
        <v>1920.6</v>
      </c>
      <c r="C104" s="44">
        <f>10720.8-348</f>
        <v>10372.8</v>
      </c>
      <c r="D104" s="44">
        <f>139.3+4+202+15.3-0.1</f>
        <v>360.5</v>
      </c>
      <c r="E104" s="1">
        <f>D104/D102*100</f>
        <v>87.47876728949285</v>
      </c>
      <c r="F104" s="1">
        <f aca="true" t="shared" si="15" ref="F104:F148">D104/B104*100</f>
        <v>18.770175986670836</v>
      </c>
      <c r="G104" s="1">
        <f t="shared" si="12"/>
        <v>3.4754357550516737</v>
      </c>
      <c r="H104" s="44">
        <f t="shared" si="13"/>
        <v>1560.1</v>
      </c>
      <c r="I104" s="44">
        <f t="shared" si="14"/>
        <v>10012.3</v>
      </c>
    </row>
    <row r="105" spans="1:9" ht="54.75" hidden="1" thickBot="1">
      <c r="A105" s="86" t="s">
        <v>81</v>
      </c>
      <c r="B105" s="88"/>
      <c r="C105" s="88"/>
      <c r="D105" s="88"/>
      <c r="E105" s="84">
        <f>D105/D102*100</f>
        <v>0</v>
      </c>
      <c r="F105" s="84" t="e">
        <f>D105/B105*100</f>
        <v>#DIV/0!</v>
      </c>
      <c r="G105" s="84" t="e">
        <f>D105/C105*100</f>
        <v>#DIV/0!</v>
      </c>
      <c r="H105" s="124">
        <f t="shared" si="13"/>
        <v>0</v>
      </c>
      <c r="I105" s="124">
        <f>C105-D105</f>
        <v>0</v>
      </c>
    </row>
    <row r="106" spans="1:9" ht="18.75" thickBot="1">
      <c r="A106" s="86" t="s">
        <v>28</v>
      </c>
      <c r="B106" s="88">
        <f>B102-B103-B104</f>
        <v>326.5999999999999</v>
      </c>
      <c r="C106" s="88">
        <f>C102-C103-C104</f>
        <v>2019.300000000001</v>
      </c>
      <c r="D106" s="88">
        <f>D102-D103-D104</f>
        <v>51.599999999999966</v>
      </c>
      <c r="E106" s="84">
        <f>D106/D102*100</f>
        <v>12.521232710507151</v>
      </c>
      <c r="F106" s="84">
        <f t="shared" si="15"/>
        <v>15.799142682180031</v>
      </c>
      <c r="G106" s="84">
        <f t="shared" si="12"/>
        <v>2.5553409597385204</v>
      </c>
      <c r="H106" s="124">
        <f>B106-D106</f>
        <v>274.99999999999994</v>
      </c>
      <c r="I106" s="124">
        <f t="shared" si="14"/>
        <v>1967.7000000000012</v>
      </c>
    </row>
    <row r="107" spans="1:9" s="2" customFormat="1" ht="26.25" customHeight="1" thickBot="1">
      <c r="A107" s="80" t="s">
        <v>29</v>
      </c>
      <c r="B107" s="81">
        <f>SUM(B108:B147)-B115-B119+B148-B139-B140-B109-B112-B122-B123-B137-B131-B129</f>
        <v>52472.39999999999</v>
      </c>
      <c r="C107" s="81">
        <f>SUM(C108:C147)-C115-C119+C148-C139-C140-C109-C112-C122-C123-C137-C131-C129</f>
        <v>531420.5</v>
      </c>
      <c r="D107" s="81">
        <f>SUM(D108:D147)-D115-D119+D148-D139-D140-D109-D112-D122-D123-D137-D131-D129</f>
        <v>22663.89999999999</v>
      </c>
      <c r="E107" s="82">
        <f>D107/D150*100</f>
        <v>21.88752751163479</v>
      </c>
      <c r="F107" s="82">
        <f>D107/B107*100</f>
        <v>43.192040005793515</v>
      </c>
      <c r="G107" s="82">
        <f t="shared" si="12"/>
        <v>4.26477713976032</v>
      </c>
      <c r="H107" s="81">
        <f t="shared" si="13"/>
        <v>29808.499999999996</v>
      </c>
      <c r="I107" s="81">
        <f t="shared" si="14"/>
        <v>508756.60000000003</v>
      </c>
    </row>
    <row r="108" spans="1:9" ht="37.5">
      <c r="A108" s="28" t="s">
        <v>53</v>
      </c>
      <c r="B108" s="71">
        <v>990.4</v>
      </c>
      <c r="C108" s="67">
        <v>4095.6</v>
      </c>
      <c r="D108" s="72">
        <f>12.6+3.2+110.8</f>
        <v>126.6</v>
      </c>
      <c r="E108" s="6">
        <f>D108/D107*100</f>
        <v>0.5585975935297987</v>
      </c>
      <c r="F108" s="6">
        <f t="shared" si="15"/>
        <v>12.782714054927302</v>
      </c>
      <c r="G108" s="6">
        <f t="shared" si="12"/>
        <v>3.0911221799003807</v>
      </c>
      <c r="H108" s="61">
        <f aca="true" t="shared" si="16" ref="H108:H148">B108-D108</f>
        <v>863.8</v>
      </c>
      <c r="I108" s="61">
        <f t="shared" si="14"/>
        <v>3969</v>
      </c>
    </row>
    <row r="109" spans="1:9" ht="18">
      <c r="A109" s="23" t="s">
        <v>26</v>
      </c>
      <c r="B109" s="74">
        <v>716.9</v>
      </c>
      <c r="C109" s="44">
        <v>2633.8</v>
      </c>
      <c r="D109" s="75">
        <f>68.3</f>
        <v>68.3</v>
      </c>
      <c r="E109" s="1">
        <f>D109/D108*100</f>
        <v>53.94944707740916</v>
      </c>
      <c r="F109" s="1">
        <f t="shared" si="15"/>
        <v>9.527130701632027</v>
      </c>
      <c r="G109" s="1">
        <f t="shared" si="12"/>
        <v>2.5932113296377852</v>
      </c>
      <c r="H109" s="44">
        <f t="shared" si="16"/>
        <v>648.6</v>
      </c>
      <c r="I109" s="44">
        <f t="shared" si="14"/>
        <v>2565.5</v>
      </c>
    </row>
    <row r="110" spans="1:9" ht="34.5" customHeight="1" hidden="1">
      <c r="A110" s="16" t="s">
        <v>80</v>
      </c>
      <c r="B110" s="73"/>
      <c r="C110" s="61"/>
      <c r="D110" s="72"/>
      <c r="E110" s="6">
        <f>D110/D107*100</f>
        <v>0</v>
      </c>
      <c r="F110" s="6" t="e">
        <f>D110/B110*100</f>
        <v>#DIV/0!</v>
      </c>
      <c r="G110" s="6" t="e">
        <f t="shared" si="12"/>
        <v>#DIV/0!</v>
      </c>
      <c r="H110" s="61">
        <f t="shared" si="16"/>
        <v>0</v>
      </c>
      <c r="I110" s="61">
        <f t="shared" si="14"/>
        <v>0</v>
      </c>
    </row>
    <row r="111" spans="1:9" s="37" customFormat="1" ht="34.5" customHeight="1">
      <c r="A111" s="16" t="s">
        <v>101</v>
      </c>
      <c r="B111" s="73">
        <v>270.9</v>
      </c>
      <c r="C111" s="53">
        <v>696.7</v>
      </c>
      <c r="D111" s="76"/>
      <c r="E111" s="6">
        <f>D111/D107*100</f>
        <v>0</v>
      </c>
      <c r="F111" s="125">
        <f t="shared" si="15"/>
        <v>0</v>
      </c>
      <c r="G111" s="6">
        <f t="shared" si="12"/>
        <v>0</v>
      </c>
      <c r="H111" s="61">
        <f t="shared" si="16"/>
        <v>270.9</v>
      </c>
      <c r="I111" s="61">
        <f t="shared" si="14"/>
        <v>696.7</v>
      </c>
    </row>
    <row r="112" spans="1:9" ht="18" hidden="1">
      <c r="A112" s="23" t="s">
        <v>26</v>
      </c>
      <c r="B112" s="74"/>
      <c r="C112" s="44"/>
      <c r="D112" s="75"/>
      <c r="E112" s="1"/>
      <c r="F112" s="1" t="e">
        <f t="shared" si="15"/>
        <v>#DIV/0!</v>
      </c>
      <c r="G112" s="1" t="e">
        <f t="shared" si="12"/>
        <v>#DIV/0!</v>
      </c>
      <c r="H112" s="44">
        <f t="shared" si="16"/>
        <v>0</v>
      </c>
      <c r="I112" s="44">
        <f t="shared" si="14"/>
        <v>0</v>
      </c>
    </row>
    <row r="113" spans="1:9" ht="18.75">
      <c r="A113" s="16" t="s">
        <v>95</v>
      </c>
      <c r="B113" s="73">
        <v>11</v>
      </c>
      <c r="C113" s="61">
        <v>60</v>
      </c>
      <c r="D113" s="72"/>
      <c r="E113" s="6">
        <f>D113/D107*100</f>
        <v>0</v>
      </c>
      <c r="F113" s="125">
        <f t="shared" si="15"/>
        <v>0</v>
      </c>
      <c r="G113" s="6">
        <f t="shared" si="12"/>
        <v>0</v>
      </c>
      <c r="H113" s="61">
        <f t="shared" si="16"/>
        <v>11</v>
      </c>
      <c r="I113" s="61">
        <f t="shared" si="14"/>
        <v>60</v>
      </c>
    </row>
    <row r="114" spans="1:9" ht="37.5">
      <c r="A114" s="16" t="s">
        <v>39</v>
      </c>
      <c r="B114" s="73">
        <v>556.2</v>
      </c>
      <c r="C114" s="61">
        <v>2915.4</v>
      </c>
      <c r="D114" s="72">
        <f>136.4+40+10</f>
        <v>186.4</v>
      </c>
      <c r="E114" s="6">
        <f>D114/D107*100</f>
        <v>0.8224533288621997</v>
      </c>
      <c r="F114" s="6">
        <f t="shared" si="15"/>
        <v>33.51312477526069</v>
      </c>
      <c r="G114" s="6">
        <f t="shared" si="12"/>
        <v>6.393633806681759</v>
      </c>
      <c r="H114" s="61">
        <f t="shared" si="16"/>
        <v>369.80000000000007</v>
      </c>
      <c r="I114" s="61">
        <f t="shared" si="14"/>
        <v>2729</v>
      </c>
    </row>
    <row r="115" spans="1:9" ht="18" hidden="1">
      <c r="A115" s="33" t="s">
        <v>44</v>
      </c>
      <c r="B115" s="74"/>
      <c r="C115" s="44"/>
      <c r="D115" s="75"/>
      <c r="E115" s="6"/>
      <c r="F115" s="6" t="e">
        <f t="shared" si="15"/>
        <v>#DIV/0!</v>
      </c>
      <c r="G115" s="1" t="e">
        <f t="shared" si="12"/>
        <v>#DIV/0!</v>
      </c>
      <c r="H115" s="44">
        <f t="shared" si="16"/>
        <v>0</v>
      </c>
      <c r="I115" s="44">
        <f t="shared" si="14"/>
        <v>0</v>
      </c>
    </row>
    <row r="116" spans="1:9" s="37" customFormat="1" ht="18.75" customHeight="1" hidden="1">
      <c r="A116" s="16" t="s">
        <v>96</v>
      </c>
      <c r="B116" s="73"/>
      <c r="C116" s="53"/>
      <c r="D116" s="76"/>
      <c r="E116" s="17">
        <f>D116/D107*100</f>
        <v>0</v>
      </c>
      <c r="F116" s="6" t="e">
        <f t="shared" si="15"/>
        <v>#DIV/0!</v>
      </c>
      <c r="G116" s="17" t="e">
        <f t="shared" si="12"/>
        <v>#DIV/0!</v>
      </c>
      <c r="H116" s="53">
        <f t="shared" si="16"/>
        <v>0</v>
      </c>
      <c r="I116" s="53">
        <f t="shared" si="14"/>
        <v>0</v>
      </c>
    </row>
    <row r="117" spans="1:9" ht="37.5">
      <c r="A117" s="16" t="s">
        <v>48</v>
      </c>
      <c r="B117" s="73">
        <v>19</v>
      </c>
      <c r="C117" s="61">
        <v>99</v>
      </c>
      <c r="D117" s="72"/>
      <c r="E117" s="6">
        <f>D117/D107*100</f>
        <v>0</v>
      </c>
      <c r="F117" s="125">
        <f>D117/B117*100</f>
        <v>0</v>
      </c>
      <c r="G117" s="6">
        <f t="shared" si="12"/>
        <v>0</v>
      </c>
      <c r="H117" s="61">
        <f t="shared" si="16"/>
        <v>19</v>
      </c>
      <c r="I117" s="61">
        <f t="shared" si="14"/>
        <v>99</v>
      </c>
    </row>
    <row r="118" spans="1:9" s="2" customFormat="1" ht="18.75">
      <c r="A118" s="16" t="s">
        <v>15</v>
      </c>
      <c r="B118" s="73">
        <v>90.4</v>
      </c>
      <c r="C118" s="53">
        <v>422.8</v>
      </c>
      <c r="D118" s="72">
        <f>39+5</f>
        <v>44</v>
      </c>
      <c r="E118" s="6">
        <f>D118/D107*100</f>
        <v>0.19414134372283684</v>
      </c>
      <c r="F118" s="6">
        <f t="shared" si="15"/>
        <v>48.67256637168141</v>
      </c>
      <c r="G118" s="6">
        <f t="shared" si="12"/>
        <v>10.406811731315042</v>
      </c>
      <c r="H118" s="61">
        <f t="shared" si="16"/>
        <v>46.400000000000006</v>
      </c>
      <c r="I118" s="61">
        <f t="shared" si="14"/>
        <v>378.8</v>
      </c>
    </row>
    <row r="119" spans="1:9" s="32" customFormat="1" ht="18">
      <c r="A119" s="33" t="s">
        <v>44</v>
      </c>
      <c r="B119" s="74">
        <v>78.1</v>
      </c>
      <c r="C119" s="44">
        <v>351.4</v>
      </c>
      <c r="D119" s="75">
        <f>39</f>
        <v>39</v>
      </c>
      <c r="E119" s="1">
        <f>D119/D118*100</f>
        <v>88.63636363636364</v>
      </c>
      <c r="F119" s="1">
        <f t="shared" si="15"/>
        <v>49.93597951344431</v>
      </c>
      <c r="G119" s="1">
        <f t="shared" si="12"/>
        <v>11.09846328969835</v>
      </c>
      <c r="H119" s="44">
        <f t="shared" si="16"/>
        <v>39.099999999999994</v>
      </c>
      <c r="I119" s="44">
        <f t="shared" si="14"/>
        <v>312.4</v>
      </c>
    </row>
    <row r="120" spans="1:9" s="2" customFormat="1" ht="18.75" hidden="1">
      <c r="A120" s="16" t="s">
        <v>21</v>
      </c>
      <c r="B120" s="73"/>
      <c r="C120" s="53"/>
      <c r="D120" s="72"/>
      <c r="E120" s="6">
        <f>D120/D107*100</f>
        <v>0</v>
      </c>
      <c r="F120" s="6" t="e">
        <f t="shared" si="15"/>
        <v>#DIV/0!</v>
      </c>
      <c r="G120" s="6" t="e">
        <f t="shared" si="12"/>
        <v>#DIV/0!</v>
      </c>
      <c r="H120" s="61">
        <f t="shared" si="16"/>
        <v>0</v>
      </c>
      <c r="I120" s="61">
        <f t="shared" si="14"/>
        <v>0</v>
      </c>
    </row>
    <row r="121" spans="1:9" s="2" customFormat="1" ht="21.75" customHeight="1">
      <c r="A121" s="16" t="s">
        <v>102</v>
      </c>
      <c r="B121" s="73">
        <v>70</v>
      </c>
      <c r="C121" s="53">
        <v>520</v>
      </c>
      <c r="D121" s="76"/>
      <c r="E121" s="17">
        <f>D121/D107*100</f>
        <v>0</v>
      </c>
      <c r="F121" s="6">
        <f t="shared" si="15"/>
        <v>0</v>
      </c>
      <c r="G121" s="6">
        <f t="shared" si="12"/>
        <v>0</v>
      </c>
      <c r="H121" s="61">
        <f t="shared" si="16"/>
        <v>70</v>
      </c>
      <c r="I121" s="61">
        <f t="shared" si="14"/>
        <v>520</v>
      </c>
    </row>
    <row r="122" spans="1:9" s="102" customFormat="1" ht="18">
      <c r="A122" s="23" t="s">
        <v>82</v>
      </c>
      <c r="B122" s="74">
        <v>0</v>
      </c>
      <c r="C122" s="44">
        <v>80</v>
      </c>
      <c r="D122" s="75"/>
      <c r="E122" s="6"/>
      <c r="F122" s="103" t="e">
        <f>D122/B122*100</f>
        <v>#DIV/0!</v>
      </c>
      <c r="G122" s="1">
        <f t="shared" si="12"/>
        <v>0</v>
      </c>
      <c r="H122" s="44">
        <f t="shared" si="16"/>
        <v>0</v>
      </c>
      <c r="I122" s="44">
        <f t="shared" si="14"/>
        <v>80</v>
      </c>
    </row>
    <row r="123" spans="1:9" s="102" customFormat="1" ht="18" hidden="1">
      <c r="A123" s="23" t="s">
        <v>50</v>
      </c>
      <c r="B123" s="74"/>
      <c r="C123" s="44"/>
      <c r="D123" s="75"/>
      <c r="E123" s="6"/>
      <c r="F123" s="1" t="e">
        <f>D123/B123*100</f>
        <v>#DIV/0!</v>
      </c>
      <c r="G123" s="1" t="e">
        <f t="shared" si="12"/>
        <v>#DIV/0!</v>
      </c>
      <c r="H123" s="44">
        <f t="shared" si="16"/>
        <v>0</v>
      </c>
      <c r="I123" s="44">
        <f t="shared" si="14"/>
        <v>0</v>
      </c>
    </row>
    <row r="124" spans="1:9" s="2" customFormat="1" ht="37.5">
      <c r="A124" s="16" t="s">
        <v>103</v>
      </c>
      <c r="B124" s="73">
        <v>6960.2</v>
      </c>
      <c r="C124" s="53">
        <v>33585.8</v>
      </c>
      <c r="D124" s="76"/>
      <c r="E124" s="17">
        <f>D124/D107*100</f>
        <v>0</v>
      </c>
      <c r="F124" s="6">
        <f t="shared" si="15"/>
        <v>0</v>
      </c>
      <c r="G124" s="6">
        <f t="shared" si="12"/>
        <v>0</v>
      </c>
      <c r="H124" s="61">
        <f t="shared" si="16"/>
        <v>6960.2</v>
      </c>
      <c r="I124" s="61">
        <f t="shared" si="14"/>
        <v>33585.8</v>
      </c>
    </row>
    <row r="125" spans="1:9" s="2" customFormat="1" ht="18.75">
      <c r="A125" s="16" t="s">
        <v>98</v>
      </c>
      <c r="B125" s="73">
        <v>110</v>
      </c>
      <c r="C125" s="53">
        <v>585</v>
      </c>
      <c r="D125" s="76"/>
      <c r="E125" s="17">
        <f>D125/D107*100</f>
        <v>0</v>
      </c>
      <c r="F125" s="125">
        <f t="shared" si="15"/>
        <v>0</v>
      </c>
      <c r="G125" s="6">
        <f t="shared" si="12"/>
        <v>0</v>
      </c>
      <c r="H125" s="61">
        <f t="shared" si="16"/>
        <v>110</v>
      </c>
      <c r="I125" s="61">
        <f t="shared" si="14"/>
        <v>585</v>
      </c>
    </row>
    <row r="126" spans="1:9" s="2" customFormat="1" ht="37.5" hidden="1">
      <c r="A126" s="16" t="s">
        <v>97</v>
      </c>
      <c r="B126" s="73"/>
      <c r="C126" s="53"/>
      <c r="D126" s="76"/>
      <c r="E126" s="17">
        <f>D126/D107*100</f>
        <v>0</v>
      </c>
      <c r="F126" s="125" t="e">
        <f t="shared" si="15"/>
        <v>#DIV/0!</v>
      </c>
      <c r="G126" s="6" t="e">
        <f t="shared" si="12"/>
        <v>#DIV/0!</v>
      </c>
      <c r="H126" s="61">
        <f t="shared" si="16"/>
        <v>0</v>
      </c>
      <c r="I126" s="61">
        <f t="shared" si="14"/>
        <v>0</v>
      </c>
    </row>
    <row r="127" spans="1:9" s="2" customFormat="1" ht="37.5">
      <c r="A127" s="16" t="s">
        <v>87</v>
      </c>
      <c r="B127" s="73">
        <v>81.6</v>
      </c>
      <c r="C127" s="53">
        <v>81.6</v>
      </c>
      <c r="D127" s="76"/>
      <c r="E127" s="17">
        <f>D127/D107*100</f>
        <v>0</v>
      </c>
      <c r="F127" s="6">
        <f t="shared" si="15"/>
        <v>0</v>
      </c>
      <c r="G127" s="6">
        <f t="shared" si="12"/>
        <v>0</v>
      </c>
      <c r="H127" s="61">
        <f t="shared" si="16"/>
        <v>81.6</v>
      </c>
      <c r="I127" s="61">
        <f t="shared" si="14"/>
        <v>81.6</v>
      </c>
    </row>
    <row r="128" spans="1:9" s="2" customFormat="1" ht="37.5">
      <c r="A128" s="16" t="s">
        <v>59</v>
      </c>
      <c r="B128" s="73">
        <v>391.4</v>
      </c>
      <c r="C128" s="53">
        <v>1253.3</v>
      </c>
      <c r="D128" s="76">
        <v>6.5</v>
      </c>
      <c r="E128" s="17">
        <f>D128/D107*100</f>
        <v>0.028679971231782713</v>
      </c>
      <c r="F128" s="6">
        <f t="shared" si="15"/>
        <v>1.660705160960654</v>
      </c>
      <c r="G128" s="6">
        <f t="shared" si="12"/>
        <v>0.5186308146493258</v>
      </c>
      <c r="H128" s="61">
        <f t="shared" si="16"/>
        <v>384.9</v>
      </c>
      <c r="I128" s="61">
        <f t="shared" si="14"/>
        <v>1246.8</v>
      </c>
    </row>
    <row r="129" spans="1:9" s="32" customFormat="1" ht="18">
      <c r="A129" s="23" t="s">
        <v>91</v>
      </c>
      <c r="B129" s="74">
        <v>102.4</v>
      </c>
      <c r="C129" s="44">
        <v>459.6</v>
      </c>
      <c r="D129" s="75">
        <v>6.4</v>
      </c>
      <c r="E129" s="1">
        <f>D129/D128*100</f>
        <v>98.46153846153847</v>
      </c>
      <c r="F129" s="1">
        <f>D129/B129*100</f>
        <v>6.25</v>
      </c>
      <c r="G129" s="1">
        <f t="shared" si="12"/>
        <v>1.392515230635335</v>
      </c>
      <c r="H129" s="44">
        <f t="shared" si="16"/>
        <v>96</v>
      </c>
      <c r="I129" s="44">
        <f t="shared" si="14"/>
        <v>453.20000000000005</v>
      </c>
    </row>
    <row r="130" spans="1:9" s="2" customFormat="1" ht="37.5" hidden="1">
      <c r="A130" s="16" t="s">
        <v>99</v>
      </c>
      <c r="B130" s="73"/>
      <c r="C130" s="53"/>
      <c r="D130" s="76"/>
      <c r="E130" s="17">
        <f>D130/D107*100</f>
        <v>0</v>
      </c>
      <c r="F130" s="125" t="e">
        <f t="shared" si="15"/>
        <v>#DIV/0!</v>
      </c>
      <c r="G130" s="6" t="e">
        <f t="shared" si="12"/>
        <v>#DIV/0!</v>
      </c>
      <c r="H130" s="61">
        <f t="shared" si="16"/>
        <v>0</v>
      </c>
      <c r="I130" s="61">
        <f t="shared" si="14"/>
        <v>0</v>
      </c>
    </row>
    <row r="131" spans="1:9" s="32" customFormat="1" ht="18" hidden="1">
      <c r="A131" s="33" t="s">
        <v>44</v>
      </c>
      <c r="B131" s="74"/>
      <c r="C131" s="44"/>
      <c r="D131" s="75"/>
      <c r="E131" s="1"/>
      <c r="F131" s="1" t="e">
        <f>D131/B131*100</f>
        <v>#DIV/0!</v>
      </c>
      <c r="G131" s="1" t="e">
        <f t="shared" si="12"/>
        <v>#DIV/0!</v>
      </c>
      <c r="H131" s="44">
        <f t="shared" si="16"/>
        <v>0</v>
      </c>
      <c r="I131" s="44">
        <f t="shared" si="14"/>
        <v>0</v>
      </c>
    </row>
    <row r="132" spans="1:9" s="2" customFormat="1" ht="35.25" customHeight="1" hidden="1">
      <c r="A132" s="16" t="s">
        <v>55</v>
      </c>
      <c r="B132" s="73"/>
      <c r="C132" s="53"/>
      <c r="D132" s="76"/>
      <c r="E132" s="17">
        <f>D132/D107*100</f>
        <v>0</v>
      </c>
      <c r="F132" s="6" t="e">
        <f t="shared" si="15"/>
        <v>#DIV/0!</v>
      </c>
      <c r="G132" s="6" t="e">
        <f t="shared" si="12"/>
        <v>#DIV/0!</v>
      </c>
      <c r="H132" s="61">
        <f t="shared" si="16"/>
        <v>0</v>
      </c>
      <c r="I132" s="61">
        <f>C132-D132</f>
        <v>0</v>
      </c>
    </row>
    <row r="133" spans="1:9" s="2" customFormat="1" ht="35.25" customHeight="1" hidden="1">
      <c r="A133" s="16" t="s">
        <v>56</v>
      </c>
      <c r="B133" s="73"/>
      <c r="C133" s="53"/>
      <c r="D133" s="76"/>
      <c r="E133" s="17">
        <f>D133/D107*100</f>
        <v>0</v>
      </c>
      <c r="F133" s="6" t="e">
        <f t="shared" si="15"/>
        <v>#DIV/0!</v>
      </c>
      <c r="G133" s="6" t="e">
        <f t="shared" si="12"/>
        <v>#DIV/0!</v>
      </c>
      <c r="H133" s="61">
        <f t="shared" si="16"/>
        <v>0</v>
      </c>
      <c r="I133" s="61">
        <f t="shared" si="14"/>
        <v>0</v>
      </c>
    </row>
    <row r="134" spans="1:9" s="2" customFormat="1" ht="35.25" customHeight="1">
      <c r="A134" s="16" t="s">
        <v>90</v>
      </c>
      <c r="B134" s="73">
        <v>18.1</v>
      </c>
      <c r="C134" s="53">
        <v>108.1</v>
      </c>
      <c r="D134" s="76"/>
      <c r="E134" s="17">
        <f>D134/D107*100</f>
        <v>0</v>
      </c>
      <c r="F134" s="6">
        <f t="shared" si="15"/>
        <v>0</v>
      </c>
      <c r="G134" s="6">
        <f t="shared" si="12"/>
        <v>0</v>
      </c>
      <c r="H134" s="61">
        <f t="shared" si="16"/>
        <v>18.1</v>
      </c>
      <c r="I134" s="61">
        <f t="shared" si="14"/>
        <v>108.1</v>
      </c>
    </row>
    <row r="135" spans="1:9" s="2" customFormat="1" ht="37.5">
      <c r="A135" s="16" t="s">
        <v>56</v>
      </c>
      <c r="B135" s="73">
        <v>20</v>
      </c>
      <c r="C135" s="53">
        <v>626.8</v>
      </c>
      <c r="D135" s="76"/>
      <c r="E135" s="17">
        <f>D135/D107*100</f>
        <v>0</v>
      </c>
      <c r="F135" s="125">
        <f t="shared" si="15"/>
        <v>0</v>
      </c>
      <c r="G135" s="6">
        <f t="shared" si="12"/>
        <v>0</v>
      </c>
      <c r="H135" s="61">
        <f t="shared" si="16"/>
        <v>20</v>
      </c>
      <c r="I135" s="61">
        <f t="shared" si="14"/>
        <v>626.8</v>
      </c>
    </row>
    <row r="136" spans="1:9" s="2" customFormat="1" ht="37.5">
      <c r="A136" s="16" t="s">
        <v>86</v>
      </c>
      <c r="B136" s="73">
        <v>106.1</v>
      </c>
      <c r="C136" s="53">
        <v>381.2</v>
      </c>
      <c r="D136" s="76"/>
      <c r="E136" s="17">
        <f>D136/D107*100</f>
        <v>0</v>
      </c>
      <c r="F136" s="6">
        <f t="shared" si="15"/>
        <v>0</v>
      </c>
      <c r="G136" s="6">
        <f>D136/C136*100</f>
        <v>0</v>
      </c>
      <c r="H136" s="61">
        <f t="shared" si="16"/>
        <v>106.1</v>
      </c>
      <c r="I136" s="61">
        <f t="shared" si="14"/>
        <v>381.2</v>
      </c>
    </row>
    <row r="137" spans="1:9" s="32" customFormat="1" ht="18">
      <c r="A137" s="23" t="s">
        <v>26</v>
      </c>
      <c r="B137" s="74">
        <v>85.3</v>
      </c>
      <c r="C137" s="44">
        <v>306.1</v>
      </c>
      <c r="D137" s="75"/>
      <c r="E137" s="103" t="e">
        <f>D137/D136*100</f>
        <v>#DIV/0!</v>
      </c>
      <c r="F137" s="1">
        <f t="shared" si="15"/>
        <v>0</v>
      </c>
      <c r="G137" s="1">
        <f>D137/C137*100</f>
        <v>0</v>
      </c>
      <c r="H137" s="44">
        <f t="shared" si="16"/>
        <v>85.3</v>
      </c>
      <c r="I137" s="44">
        <f t="shared" si="14"/>
        <v>306.1</v>
      </c>
    </row>
    <row r="138" spans="1:9" s="2" customFormat="1" ht="18.75">
      <c r="A138" s="16" t="s">
        <v>104</v>
      </c>
      <c r="B138" s="73">
        <v>237.1</v>
      </c>
      <c r="C138" s="53">
        <v>1397.4</v>
      </c>
      <c r="D138" s="76">
        <f>26+59.9+0.4-0.1+0.1</f>
        <v>86.30000000000001</v>
      </c>
      <c r="E138" s="17">
        <f>D138/D107*100</f>
        <v>0.3807817718927459</v>
      </c>
      <c r="F138" s="6">
        <f t="shared" si="15"/>
        <v>36.39814424293547</v>
      </c>
      <c r="G138" s="6">
        <f t="shared" si="12"/>
        <v>6.175754973522256</v>
      </c>
      <c r="H138" s="61">
        <f t="shared" si="16"/>
        <v>150.79999999999998</v>
      </c>
      <c r="I138" s="61">
        <f t="shared" si="14"/>
        <v>1311.1000000000001</v>
      </c>
    </row>
    <row r="139" spans="1:9" s="32" customFormat="1" ht="18">
      <c r="A139" s="33" t="s">
        <v>44</v>
      </c>
      <c r="B139" s="74">
        <v>170.8</v>
      </c>
      <c r="C139" s="44">
        <v>1063.5</v>
      </c>
      <c r="D139" s="75">
        <f>26+59.9</f>
        <v>85.9</v>
      </c>
      <c r="E139" s="1">
        <f>D139/D138*100</f>
        <v>99.53650057937426</v>
      </c>
      <c r="F139" s="1">
        <f aca="true" t="shared" si="17" ref="F139:F147">D139/B139*100</f>
        <v>50.292740046838404</v>
      </c>
      <c r="G139" s="1">
        <f t="shared" si="12"/>
        <v>8.077103902209686</v>
      </c>
      <c r="H139" s="44">
        <f t="shared" si="16"/>
        <v>84.9</v>
      </c>
      <c r="I139" s="44">
        <f t="shared" si="14"/>
        <v>977.6</v>
      </c>
    </row>
    <row r="140" spans="1:9" s="32" customFormat="1" ht="18">
      <c r="A140" s="23" t="s">
        <v>26</v>
      </c>
      <c r="B140" s="74">
        <v>15.1</v>
      </c>
      <c r="C140" s="44">
        <v>37.5</v>
      </c>
      <c r="D140" s="75">
        <f>0.4</f>
        <v>0.4</v>
      </c>
      <c r="E140" s="1">
        <f>D140/D138*100</f>
        <v>0.4634994206257242</v>
      </c>
      <c r="F140" s="1">
        <f t="shared" si="17"/>
        <v>2.6490066225165565</v>
      </c>
      <c r="G140" s="1">
        <f>D140/C140*100</f>
        <v>1.0666666666666669</v>
      </c>
      <c r="H140" s="44">
        <f t="shared" si="16"/>
        <v>14.7</v>
      </c>
      <c r="I140" s="44">
        <f t="shared" si="14"/>
        <v>37.1</v>
      </c>
    </row>
    <row r="141" spans="1:9" s="2" customFormat="1" ht="56.25" hidden="1">
      <c r="A141" s="18" t="s">
        <v>89</v>
      </c>
      <c r="B141" s="73"/>
      <c r="C141" s="53"/>
      <c r="D141" s="76"/>
      <c r="E141" s="17">
        <f>D141/D107*100</f>
        <v>0</v>
      </c>
      <c r="F141" s="99" t="e">
        <f t="shared" si="17"/>
        <v>#DIV/0!</v>
      </c>
      <c r="G141" s="6" t="e">
        <f t="shared" si="12"/>
        <v>#DIV/0!</v>
      </c>
      <c r="H141" s="61">
        <f t="shared" si="16"/>
        <v>0</v>
      </c>
      <c r="I141" s="61">
        <f t="shared" si="14"/>
        <v>0</v>
      </c>
    </row>
    <row r="142" spans="1:9" s="2" customFormat="1" ht="18.75" hidden="1">
      <c r="A142" s="18" t="s">
        <v>100</v>
      </c>
      <c r="B142" s="73"/>
      <c r="C142" s="53"/>
      <c r="D142" s="76"/>
      <c r="E142" s="17">
        <f>D142/D107*100</f>
        <v>0</v>
      </c>
      <c r="F142" s="99" t="e">
        <f>D142/B142*100</f>
        <v>#DIV/0!</v>
      </c>
      <c r="G142" s="6" t="e">
        <f t="shared" si="12"/>
        <v>#DIV/0!</v>
      </c>
      <c r="H142" s="61">
        <f t="shared" si="16"/>
        <v>0</v>
      </c>
      <c r="I142" s="61">
        <f t="shared" si="14"/>
        <v>0</v>
      </c>
    </row>
    <row r="143" spans="1:9" s="2" customFormat="1" ht="18.75">
      <c r="A143" s="18" t="s">
        <v>105</v>
      </c>
      <c r="B143" s="73">
        <v>11200.8</v>
      </c>
      <c r="C143" s="53">
        <v>67967</v>
      </c>
      <c r="D143" s="76">
        <f>2189.1+2579.7+68.9+525.7</f>
        <v>5363.399999999999</v>
      </c>
      <c r="E143" s="17">
        <f>D143/D107*100</f>
        <v>23.66494733916052</v>
      </c>
      <c r="F143" s="99">
        <f t="shared" si="17"/>
        <v>47.88407970859224</v>
      </c>
      <c r="G143" s="6">
        <f t="shared" si="12"/>
        <v>7.891182485618018</v>
      </c>
      <c r="H143" s="61">
        <f t="shared" si="16"/>
        <v>5837.400000000001</v>
      </c>
      <c r="I143" s="61">
        <f t="shared" si="14"/>
        <v>62603.6</v>
      </c>
    </row>
    <row r="144" spans="1:9" s="2" customFormat="1" ht="18.75" hidden="1">
      <c r="A144" s="18" t="s">
        <v>88</v>
      </c>
      <c r="B144" s="73"/>
      <c r="C144" s="53"/>
      <c r="D144" s="76"/>
      <c r="E144" s="17">
        <f>D144/D107*100</f>
        <v>0</v>
      </c>
      <c r="F144" s="99" t="e">
        <f t="shared" si="17"/>
        <v>#DIV/0!</v>
      </c>
      <c r="G144" s="6" t="e">
        <f t="shared" si="12"/>
        <v>#DIV/0!</v>
      </c>
      <c r="H144" s="61">
        <f t="shared" si="16"/>
        <v>0</v>
      </c>
      <c r="I144" s="61">
        <f t="shared" si="14"/>
        <v>0</v>
      </c>
    </row>
    <row r="145" spans="1:9" s="2" customFormat="1" ht="18.75">
      <c r="A145" s="16" t="s">
        <v>106</v>
      </c>
      <c r="B145" s="73">
        <v>0</v>
      </c>
      <c r="C145" s="53">
        <v>234</v>
      </c>
      <c r="D145" s="76"/>
      <c r="E145" s="17">
        <f>D145/D107*100</f>
        <v>0</v>
      </c>
      <c r="F145" s="128" t="e">
        <f t="shared" si="17"/>
        <v>#DIV/0!</v>
      </c>
      <c r="G145" s="6">
        <f t="shared" si="12"/>
        <v>0</v>
      </c>
      <c r="H145" s="61">
        <f t="shared" si="16"/>
        <v>0</v>
      </c>
      <c r="I145" s="61">
        <f t="shared" si="14"/>
        <v>234</v>
      </c>
    </row>
    <row r="146" spans="1:12" s="2" customFormat="1" ht="18.75" customHeight="1">
      <c r="A146" s="16" t="s">
        <v>79</v>
      </c>
      <c r="B146" s="73">
        <v>2031.4</v>
      </c>
      <c r="C146" s="53">
        <v>10550.8</v>
      </c>
      <c r="D146" s="76"/>
      <c r="E146" s="17">
        <f>D146/D107*100</f>
        <v>0</v>
      </c>
      <c r="F146" s="99">
        <f t="shared" si="17"/>
        <v>0</v>
      </c>
      <c r="G146" s="6">
        <f t="shared" si="12"/>
        <v>0</v>
      </c>
      <c r="H146" s="61">
        <f t="shared" si="16"/>
        <v>2031.4</v>
      </c>
      <c r="I146" s="61">
        <f t="shared" si="14"/>
        <v>10550.8</v>
      </c>
      <c r="K146" s="38"/>
      <c r="L146" s="38"/>
    </row>
    <row r="147" spans="1:12" s="2" customFormat="1" ht="19.5" customHeight="1">
      <c r="A147" s="16" t="s">
        <v>51</v>
      </c>
      <c r="B147" s="73">
        <v>24393.6</v>
      </c>
      <c r="C147" s="53">
        <v>376354.8</v>
      </c>
      <c r="D147" s="76">
        <f>4905.7+9487.9</f>
        <v>14393.599999999999</v>
      </c>
      <c r="E147" s="17">
        <f>D147/D107*100</f>
        <v>63.508928295659636</v>
      </c>
      <c r="F147" s="6">
        <f t="shared" si="17"/>
        <v>59.00564082382264</v>
      </c>
      <c r="G147" s="6">
        <f t="shared" si="12"/>
        <v>3.8244762654814015</v>
      </c>
      <c r="H147" s="61">
        <f t="shared" si="16"/>
        <v>10000</v>
      </c>
      <c r="I147" s="61">
        <f t="shared" si="14"/>
        <v>361961.2</v>
      </c>
      <c r="K147" s="91"/>
      <c r="L147" s="38"/>
    </row>
    <row r="148" spans="1:12" s="2" customFormat="1" ht="18.75">
      <c r="A148" s="16" t="s">
        <v>107</v>
      </c>
      <c r="B148" s="73">
        <v>4914.2</v>
      </c>
      <c r="C148" s="53">
        <v>29485.2</v>
      </c>
      <c r="D148" s="76">
        <f>819+819+819.1</f>
        <v>2457.1</v>
      </c>
      <c r="E148" s="17">
        <f>D148/D107*100</f>
        <v>10.84147035594051</v>
      </c>
      <c r="F148" s="6">
        <f t="shared" si="15"/>
        <v>50</v>
      </c>
      <c r="G148" s="6">
        <f t="shared" si="12"/>
        <v>8.333333333333332</v>
      </c>
      <c r="H148" s="61">
        <f t="shared" si="16"/>
        <v>2457.1</v>
      </c>
      <c r="I148" s="61">
        <f t="shared" si="14"/>
        <v>27028.100000000002</v>
      </c>
      <c r="K148" s="38"/>
      <c r="L148" s="38"/>
    </row>
    <row r="149" spans="1:12" s="2" customFormat="1" ht="19.5" thickBot="1">
      <c r="A149" s="34" t="s">
        <v>30</v>
      </c>
      <c r="B149" s="77">
        <f>B43+B69+B72+B77+B79+B87+B102+B107+B100+B84+B98</f>
        <v>56860.599999999984</v>
      </c>
      <c r="C149" s="77">
        <f>C43+C69+C72+C77+C79+C87+C102+C107+C100+C84+C98</f>
        <v>556098</v>
      </c>
      <c r="D149" s="53">
        <f>D43+D69+D72+D77+D79+D87+D102+D107+D100+D84+D98</f>
        <v>23177.299999999992</v>
      </c>
      <c r="E149" s="17"/>
      <c r="F149" s="17"/>
      <c r="G149" s="6"/>
      <c r="H149" s="61"/>
      <c r="I149" s="53"/>
      <c r="K149" s="38"/>
      <c r="L149" s="38"/>
    </row>
    <row r="150" spans="1:12" ht="19.5" thickBot="1">
      <c r="A150" s="13" t="s">
        <v>18</v>
      </c>
      <c r="B150" s="47">
        <f>B6+B18+B33+B43+B51+B59+B69+B72+B77+B79+B87+B90+B95+B102+B107+B100+B84+B98+B45</f>
        <v>298464.8</v>
      </c>
      <c r="C150" s="47">
        <f>C6+C18+C33+C43+C51+C59+C69+C72+C77+C79+C87+C90+C95+C102+C107+C100+C84+C98+C45</f>
        <v>1838965.0999999999</v>
      </c>
      <c r="D150" s="47">
        <f>D6+D18+D33+D43+D51+D59+D69+D72+D77+D79+D87+D90+D95+D102+D107+D100+D84+D98+D45</f>
        <v>103547.1</v>
      </c>
      <c r="E150" s="31">
        <v>100</v>
      </c>
      <c r="F150" s="3">
        <f>D150/B150*100</f>
        <v>34.69323685741166</v>
      </c>
      <c r="G150" s="3">
        <f aca="true" t="shared" si="18" ref="G150:G156">D150/C150*100</f>
        <v>5.630726760393659</v>
      </c>
      <c r="H150" s="47">
        <f aca="true" t="shared" si="19" ref="H150:H156">B150-D150</f>
        <v>194917.69999999998</v>
      </c>
      <c r="I150" s="47">
        <f aca="true" t="shared" si="20" ref="I150:I156">C150-D150</f>
        <v>1735417.9999999998</v>
      </c>
      <c r="K150" s="39"/>
      <c r="L150" s="40"/>
    </row>
    <row r="151" spans="1:12" ht="18.75">
      <c r="A151" s="18" t="s">
        <v>5</v>
      </c>
      <c r="B151" s="60">
        <f>B8+B20+B34+B52+B60+B91+B115+B119+B46+B139+B131+B103</f>
        <v>119455.40000000001</v>
      </c>
      <c r="C151" s="60">
        <f>C8+C20+C34+C52+C60+C91+C115+C119+C46+C139+C131+C103</f>
        <v>722894.7</v>
      </c>
      <c r="D151" s="60">
        <f>D8+D20+D34+D52+D60+D91+D115+D119+D46+D139+D131+D103</f>
        <v>48647.399999999994</v>
      </c>
      <c r="E151" s="6">
        <f>D151/D150*100</f>
        <v>46.98093910886929</v>
      </c>
      <c r="F151" s="6">
        <f aca="true" t="shared" si="21" ref="F151:F156">D151/B151*100</f>
        <v>40.724320541390334</v>
      </c>
      <c r="G151" s="6">
        <f t="shared" si="18"/>
        <v>6.7295278274968675</v>
      </c>
      <c r="H151" s="61">
        <f t="shared" si="19"/>
        <v>70808.00000000001</v>
      </c>
      <c r="I151" s="72">
        <f t="shared" si="20"/>
        <v>674247.2999999999</v>
      </c>
      <c r="K151" s="39"/>
      <c r="L151" s="40"/>
    </row>
    <row r="152" spans="1:12" ht="18.75">
      <c r="A152" s="18" t="s">
        <v>0</v>
      </c>
      <c r="B152" s="61">
        <f>B11+B23+B36+B55+B62+B92+B49+B140+B109+B112+B96+B137</f>
        <v>35107.6</v>
      </c>
      <c r="C152" s="61">
        <f>C11+C23+C36+C55+C62+C92+C49+C140+C109+C112+C96+C137</f>
        <v>102469.50000000003</v>
      </c>
      <c r="D152" s="61">
        <f>D11+D23+D36+D55+D62+D92+D49+D140+D109+D112+D96+D137</f>
        <v>733.5</v>
      </c>
      <c r="E152" s="6">
        <f>D152/D150*100</f>
        <v>0.7083732909951124</v>
      </c>
      <c r="F152" s="6">
        <f t="shared" si="21"/>
        <v>2.089291207601773</v>
      </c>
      <c r="G152" s="6">
        <f t="shared" si="18"/>
        <v>0.715822757015502</v>
      </c>
      <c r="H152" s="61">
        <f t="shared" si="19"/>
        <v>34374.1</v>
      </c>
      <c r="I152" s="72">
        <f t="shared" si="20"/>
        <v>101736.00000000003</v>
      </c>
      <c r="K152" s="39"/>
      <c r="L152" s="90"/>
    </row>
    <row r="153" spans="1:12" ht="18.75">
      <c r="A153" s="18" t="s">
        <v>1</v>
      </c>
      <c r="B153" s="60">
        <f>B22+B10+B54+B48+B61+B35+B123</f>
        <v>5458.599999999999</v>
      </c>
      <c r="C153" s="60">
        <f>C22+C10+C54+C48+C61+C35+C123</f>
        <v>28682.2</v>
      </c>
      <c r="D153" s="60">
        <f>D22+D10+D54+D48+D61+D35+D123</f>
        <v>1149.2</v>
      </c>
      <c r="E153" s="6">
        <f>D153/D150*100</f>
        <v>1.109833109763576</v>
      </c>
      <c r="F153" s="6">
        <f t="shared" si="21"/>
        <v>21.053017257172172</v>
      </c>
      <c r="G153" s="6">
        <f t="shared" si="18"/>
        <v>4.00666615531584</v>
      </c>
      <c r="H153" s="61">
        <f t="shared" si="19"/>
        <v>4309.4</v>
      </c>
      <c r="I153" s="72">
        <f t="shared" si="20"/>
        <v>27533</v>
      </c>
      <c r="K153" s="39"/>
      <c r="L153" s="40"/>
    </row>
    <row r="154" spans="1:12" ht="21" customHeight="1">
      <c r="A154" s="18" t="s">
        <v>14</v>
      </c>
      <c r="B154" s="60">
        <f>B12+B24+B104+B63+B38+B93+B129+B56</f>
        <v>4698.2</v>
      </c>
      <c r="C154" s="60">
        <f>C12+C24+C104+C63+C38+C93+C129+C56</f>
        <v>29184.599999999995</v>
      </c>
      <c r="D154" s="60">
        <f>D12+D24+D104+D63+D38+D93+D129+D56</f>
        <v>1414.3000000000002</v>
      </c>
      <c r="E154" s="6">
        <f>D154/D150*100</f>
        <v>1.3658518683768064</v>
      </c>
      <c r="F154" s="6">
        <f t="shared" si="21"/>
        <v>30.10301817717424</v>
      </c>
      <c r="G154" s="6">
        <f t="shared" si="18"/>
        <v>4.846048943620953</v>
      </c>
      <c r="H154" s="61">
        <f t="shared" si="19"/>
        <v>3283.8999999999996</v>
      </c>
      <c r="I154" s="72">
        <f t="shared" si="20"/>
        <v>27770.299999999996</v>
      </c>
      <c r="K154" s="39"/>
      <c r="L154" s="90"/>
    </row>
    <row r="155" spans="1:12" ht="18.75">
      <c r="A155" s="18" t="s">
        <v>2</v>
      </c>
      <c r="B155" s="60">
        <f>B9+B21+B47+B53+B122</f>
        <v>6</v>
      </c>
      <c r="C155" s="60">
        <f>C9+C21+C47+C53+C122</f>
        <v>186.9</v>
      </c>
      <c r="D155" s="60">
        <f>D9+D21+D47+D53+D122</f>
        <v>0</v>
      </c>
      <c r="E155" s="6">
        <f>D155/D150*100</f>
        <v>0</v>
      </c>
      <c r="F155" s="6">
        <f t="shared" si="21"/>
        <v>0</v>
      </c>
      <c r="G155" s="6">
        <f t="shared" si="18"/>
        <v>0</v>
      </c>
      <c r="H155" s="61">
        <f t="shared" si="19"/>
        <v>6</v>
      </c>
      <c r="I155" s="72">
        <f t="shared" si="20"/>
        <v>186.9</v>
      </c>
      <c r="K155" s="39"/>
      <c r="L155" s="40"/>
    </row>
    <row r="156" spans="1:12" ht="19.5" thickBot="1">
      <c r="A156" s="126" t="s">
        <v>28</v>
      </c>
      <c r="B156" s="78">
        <f>B150-B151-B152-B153-B154-B155</f>
        <v>133738.99999999994</v>
      </c>
      <c r="C156" s="78">
        <f>C150-C151-C152-C153-C154-C155</f>
        <v>955547.2</v>
      </c>
      <c r="D156" s="78">
        <f>D150-D151-D152-D153-D154-D155</f>
        <v>51602.70000000001</v>
      </c>
      <c r="E156" s="36">
        <f>D156/D150*100</f>
        <v>49.835002621995216</v>
      </c>
      <c r="F156" s="36">
        <f t="shared" si="21"/>
        <v>38.58463125939332</v>
      </c>
      <c r="G156" s="36">
        <f t="shared" si="18"/>
        <v>5.4003297796278416</v>
      </c>
      <c r="H156" s="127">
        <f t="shared" si="19"/>
        <v>82136.29999999993</v>
      </c>
      <c r="I156" s="127">
        <f t="shared" si="20"/>
        <v>903944.5</v>
      </c>
      <c r="K156" s="39"/>
      <c r="L156" s="90"/>
    </row>
    <row r="157" spans="7:8" ht="12.75">
      <c r="G157" s="20"/>
      <c r="H157" s="20"/>
    </row>
    <row r="158" spans="7:9" ht="12.75">
      <c r="G158" s="20"/>
      <c r="H158" s="20"/>
      <c r="I158" s="20"/>
    </row>
    <row r="159" spans="7:8" ht="12.75">
      <c r="G159" s="20"/>
      <c r="H159" s="20"/>
    </row>
    <row r="160" spans="7:8" ht="12.75">
      <c r="G160" s="20"/>
      <c r="H160" s="20"/>
    </row>
    <row r="161" spans="7:8" ht="12.75">
      <c r="G161" s="20"/>
      <c r="H161" s="20"/>
    </row>
    <row r="162" spans="7:8" ht="12.75">
      <c r="G162" s="20"/>
      <c r="H162" s="20"/>
    </row>
    <row r="163" spans="7:8" ht="12.75">
      <c r="G163" s="20"/>
      <c r="H163" s="20"/>
    </row>
    <row r="164" spans="7:8" ht="12.75">
      <c r="G164" s="20"/>
      <c r="H164" s="20"/>
    </row>
    <row r="165" spans="7:8" ht="12.75">
      <c r="G165" s="20"/>
      <c r="H165" s="20"/>
    </row>
    <row r="166" spans="7:8" ht="12.75">
      <c r="G166" s="20"/>
      <c r="H166" s="20"/>
    </row>
    <row r="167" spans="7:8" ht="12.75">
      <c r="G167" s="20"/>
      <c r="H167" s="20"/>
    </row>
    <row r="168" spans="7:8" ht="12.75">
      <c r="G168" s="20"/>
      <c r="H168" s="20"/>
    </row>
    <row r="169" spans="7:8" ht="12.75">
      <c r="G169" s="20"/>
      <c r="H169" s="20"/>
    </row>
    <row r="170" spans="7:8" ht="12.75">
      <c r="G170" s="20"/>
      <c r="H170" s="20"/>
    </row>
    <row r="171" spans="7:8" ht="12.75">
      <c r="G171" s="20"/>
      <c r="H171" s="20"/>
    </row>
    <row r="172" spans="7:8" ht="12.75">
      <c r="G172" s="20"/>
      <c r="H172" s="20"/>
    </row>
    <row r="173" spans="7:8" ht="12.75">
      <c r="G173" s="20"/>
      <c r="H173" s="20"/>
    </row>
    <row r="174" spans="7:8" ht="12.75">
      <c r="G174" s="20"/>
      <c r="H174" s="20"/>
    </row>
    <row r="175" spans="7:8" ht="12.75">
      <c r="G175" s="20"/>
      <c r="H175" s="20"/>
    </row>
    <row r="176" spans="7:8" ht="12.75">
      <c r="G176" s="20"/>
      <c r="H176" s="20"/>
    </row>
    <row r="177" spans="7:8" ht="12.75">
      <c r="G177" s="20"/>
      <c r="H177" s="20"/>
    </row>
    <row r="178" spans="7:8" ht="12.75">
      <c r="G178" s="20"/>
      <c r="H178" s="20"/>
    </row>
    <row r="179" spans="7:8" ht="12.75">
      <c r="G179" s="20"/>
      <c r="H179" s="20"/>
    </row>
    <row r="180" spans="7:8" ht="12.75">
      <c r="G180" s="20"/>
      <c r="H180" s="20"/>
    </row>
    <row r="181" spans="7:8" ht="12.75">
      <c r="G181" s="20"/>
      <c r="H181" s="20"/>
    </row>
    <row r="182" spans="7:8" ht="12.75">
      <c r="G182" s="20"/>
      <c r="H182" s="20"/>
    </row>
    <row r="183" spans="7:8" ht="12.75">
      <c r="G183" s="20"/>
      <c r="H183" s="20"/>
    </row>
    <row r="184" spans="7:8" ht="12.75">
      <c r="G184" s="20"/>
      <c r="H184" s="20"/>
    </row>
    <row r="185" spans="7:8" ht="12.75">
      <c r="G185" s="20"/>
      <c r="H185" s="20"/>
    </row>
    <row r="186" spans="7:8" ht="12.75">
      <c r="G186" s="20"/>
      <c r="H186" s="20"/>
    </row>
    <row r="187" spans="7:8" ht="12.75">
      <c r="G187" s="20"/>
      <c r="H187" s="20"/>
    </row>
    <row r="188" spans="7:8" ht="12.75">
      <c r="G188" s="20"/>
      <c r="H188" s="20"/>
    </row>
    <row r="189" spans="7:8" ht="12.75">
      <c r="G189" s="20"/>
      <c r="H189" s="20"/>
    </row>
    <row r="190" spans="7:8" ht="12.75">
      <c r="G190" s="20"/>
      <c r="H190" s="20"/>
    </row>
    <row r="191" spans="7:8" ht="12.75">
      <c r="G191" s="20"/>
      <c r="H191" s="20"/>
    </row>
    <row r="192" spans="7:8" ht="12.75">
      <c r="G192" s="20"/>
      <c r="H192" s="20"/>
    </row>
    <row r="193" spans="7:8" ht="12.75">
      <c r="G193" s="20"/>
      <c r="H193" s="20"/>
    </row>
    <row r="194" spans="7:8" ht="12.75">
      <c r="G194" s="20"/>
      <c r="H194" s="20"/>
    </row>
    <row r="195" spans="7:8" ht="12.75">
      <c r="G195" s="20"/>
      <c r="H195" s="20"/>
    </row>
    <row r="196" spans="7:8" ht="12.75">
      <c r="G196" s="20"/>
      <c r="H196" s="20"/>
    </row>
    <row r="197" spans="7:8" ht="12.75">
      <c r="G197" s="20"/>
      <c r="H197" s="20"/>
    </row>
    <row r="198" spans="7:8" ht="12.75">
      <c r="G198" s="20"/>
      <c r="H198" s="20"/>
    </row>
    <row r="199" spans="7:8" ht="12.75">
      <c r="G199" s="20"/>
      <c r="H199" s="20"/>
    </row>
    <row r="200" spans="7:8" ht="12.75">
      <c r="G200" s="20"/>
      <c r="H200" s="20"/>
    </row>
    <row r="201" spans="7:8" ht="12.75">
      <c r="G201" s="20"/>
      <c r="H201" s="20"/>
    </row>
    <row r="202" spans="7:8" ht="12.75">
      <c r="G202" s="20"/>
      <c r="H202" s="20"/>
    </row>
    <row r="203" spans="7:8" ht="12.75">
      <c r="G203" s="20"/>
      <c r="H203" s="20"/>
    </row>
    <row r="204" spans="7:8" ht="12.75">
      <c r="G204" s="20"/>
      <c r="H204" s="20"/>
    </row>
    <row r="205" spans="7:8" ht="12.75">
      <c r="G205" s="20"/>
      <c r="H205" s="20"/>
    </row>
    <row r="206" spans="7:8" ht="12.75">
      <c r="G206" s="20"/>
      <c r="H206" s="20"/>
    </row>
    <row r="207" spans="7:8" ht="12.75">
      <c r="G207" s="20"/>
      <c r="H207" s="20"/>
    </row>
    <row r="208" spans="7:8" ht="12.75">
      <c r="G208" s="20"/>
      <c r="H208" s="20"/>
    </row>
    <row r="209" spans="7:8" ht="12.75">
      <c r="G209" s="20"/>
      <c r="H209" s="20"/>
    </row>
    <row r="210" spans="7:8" ht="12.75">
      <c r="G210" s="20"/>
      <c r="H210" s="20"/>
    </row>
    <row r="211" spans="7:8" ht="12.75">
      <c r="G211" s="20"/>
      <c r="H211" s="20"/>
    </row>
    <row r="212" spans="7:8" ht="12.75">
      <c r="G212" s="20"/>
      <c r="H212" s="20"/>
    </row>
    <row r="213" spans="7:8" ht="12.75">
      <c r="G213" s="20"/>
      <c r="H213" s="20"/>
    </row>
    <row r="214" spans="7:8" ht="12.75">
      <c r="G214" s="20"/>
      <c r="H214" s="20"/>
    </row>
    <row r="215" spans="7:8" ht="12.75">
      <c r="G215" s="20"/>
      <c r="H215" s="20"/>
    </row>
    <row r="216" spans="7:8" ht="12.75">
      <c r="G216" s="20"/>
      <c r="H216" s="20"/>
    </row>
    <row r="217" spans="7:8" ht="12.75">
      <c r="G217" s="20"/>
      <c r="H217" s="20"/>
    </row>
    <row r="218" spans="7:8" ht="12.75">
      <c r="G218" s="20"/>
      <c r="H218" s="20"/>
    </row>
    <row r="219" spans="7:8" ht="12.75">
      <c r="G219" s="20"/>
      <c r="H219" s="20"/>
    </row>
    <row r="220" spans="7:8" ht="12.75">
      <c r="G220" s="20"/>
      <c r="H220" s="20"/>
    </row>
    <row r="221" spans="7:8" ht="12.75">
      <c r="G221" s="20"/>
      <c r="H221" s="20"/>
    </row>
    <row r="222" spans="7:8" ht="12.75">
      <c r="G222" s="20"/>
      <c r="H222" s="20"/>
    </row>
    <row r="223" spans="7:8" ht="12.75">
      <c r="G223" s="20"/>
      <c r="H223" s="20"/>
    </row>
    <row r="224" spans="7:8" ht="12.75">
      <c r="G224" s="20"/>
      <c r="H224" s="20"/>
    </row>
    <row r="225" spans="7:8" ht="12.75">
      <c r="G225" s="20"/>
      <c r="H225" s="20"/>
    </row>
    <row r="226" spans="7:8" ht="12.75">
      <c r="G226" s="20"/>
      <c r="H226" s="20"/>
    </row>
    <row r="227" spans="7:8" ht="12.75">
      <c r="G227" s="20"/>
      <c r="H227" s="20"/>
    </row>
    <row r="228" spans="7:8" ht="12.75">
      <c r="G228" s="20"/>
      <c r="H228" s="20"/>
    </row>
    <row r="229" spans="7:8" ht="12.75">
      <c r="G229" s="20"/>
      <c r="H229" s="20"/>
    </row>
    <row r="230" spans="7:8" ht="12.75">
      <c r="G230" s="20"/>
      <c r="H230" s="20"/>
    </row>
    <row r="231" spans="7:8" ht="12.75">
      <c r="G231" s="20"/>
      <c r="H231" s="20"/>
    </row>
    <row r="232" spans="7:8" ht="12.75">
      <c r="G232" s="20"/>
      <c r="H232" s="20"/>
    </row>
    <row r="233" spans="7:8" ht="12.75">
      <c r="G233" s="20"/>
      <c r="H233" s="20"/>
    </row>
    <row r="234" spans="7:8" ht="12.75">
      <c r="G234" s="20"/>
      <c r="H234" s="20"/>
    </row>
    <row r="235" spans="7:8" ht="12.75">
      <c r="G235" s="20"/>
      <c r="H235" s="20"/>
    </row>
    <row r="236" spans="7:8" ht="12.75">
      <c r="G236" s="20"/>
      <c r="H236" s="20"/>
    </row>
    <row r="237" spans="7:8" ht="12.75">
      <c r="G237" s="20"/>
      <c r="H237" s="20"/>
    </row>
    <row r="238" spans="7:8" ht="12.75">
      <c r="G238" s="20"/>
      <c r="H238" s="20"/>
    </row>
    <row r="239" spans="7:8" ht="12.75">
      <c r="G239" s="20"/>
      <c r="H239" s="20"/>
    </row>
    <row r="240" spans="7:8" ht="12.75">
      <c r="G240" s="20"/>
      <c r="H240" s="20"/>
    </row>
    <row r="241" spans="7:8" ht="12.75">
      <c r="G241" s="20"/>
      <c r="H241" s="20"/>
    </row>
    <row r="242" spans="7:8" ht="12.75">
      <c r="G242" s="20"/>
      <c r="H242" s="20"/>
    </row>
    <row r="243" spans="7:8" ht="12.75">
      <c r="G243" s="20"/>
      <c r="H243" s="20"/>
    </row>
    <row r="244" spans="7:8" ht="12.75">
      <c r="G244" s="20"/>
      <c r="H244" s="20"/>
    </row>
    <row r="245" spans="7:8" ht="12.75">
      <c r="G245" s="20"/>
      <c r="H245" s="20"/>
    </row>
    <row r="246" spans="7:8" ht="12.75">
      <c r="G246" s="20"/>
      <c r="H246" s="20"/>
    </row>
    <row r="247" spans="7:8" ht="12.75">
      <c r="G247" s="20"/>
      <c r="H247" s="20"/>
    </row>
    <row r="248" spans="7:8" ht="12.75">
      <c r="G248" s="20"/>
      <c r="H248" s="20"/>
    </row>
    <row r="249" spans="7:8" ht="12.75">
      <c r="G249" s="20"/>
      <c r="H249" s="20"/>
    </row>
    <row r="250" spans="7:8" ht="12.75">
      <c r="G250" s="20"/>
      <c r="H250" s="20"/>
    </row>
    <row r="251" spans="7:8" ht="12.75">
      <c r="G251" s="20"/>
      <c r="H251" s="20"/>
    </row>
    <row r="252" spans="7:8" ht="12.75">
      <c r="G252" s="20"/>
      <c r="H252" s="20"/>
    </row>
    <row r="253" spans="7:8" ht="12.75">
      <c r="G253" s="20"/>
      <c r="H253" s="20"/>
    </row>
    <row r="254" spans="7:8" ht="12.75">
      <c r="G254" s="20"/>
      <c r="H254" s="20"/>
    </row>
    <row r="255" spans="7:8" ht="12.75">
      <c r="G255" s="20"/>
      <c r="H255" s="20"/>
    </row>
    <row r="256" spans="7:8" ht="12.75">
      <c r="G256" s="20"/>
      <c r="H256" s="20"/>
    </row>
    <row r="257" spans="7:8" ht="12.75">
      <c r="G257" s="20"/>
      <c r="H257" s="20"/>
    </row>
    <row r="258" spans="7:8" ht="12.75">
      <c r="G258" s="20"/>
      <c r="H258" s="20"/>
    </row>
    <row r="259" spans="7:8" ht="12.75">
      <c r="G259" s="20"/>
      <c r="H259" s="20"/>
    </row>
    <row r="260" spans="7:8" ht="12.75">
      <c r="G260" s="20"/>
      <c r="H260" s="20"/>
    </row>
    <row r="261" spans="7:8" ht="12.75">
      <c r="G261" s="20"/>
      <c r="H261" s="20"/>
    </row>
    <row r="262" spans="7:8" ht="12.75">
      <c r="G262" s="20"/>
      <c r="H262" s="20"/>
    </row>
    <row r="263" spans="7:8" ht="12.75">
      <c r="G263" s="20"/>
      <c r="H263" s="20"/>
    </row>
    <row r="264" spans="7:8" ht="12.75">
      <c r="G264" s="20"/>
      <c r="H264" s="20"/>
    </row>
    <row r="265" spans="7:8" ht="12.75">
      <c r="G265" s="20"/>
      <c r="H265" s="20"/>
    </row>
    <row r="266" spans="7:8" ht="12.75">
      <c r="G266" s="20"/>
      <c r="H266" s="20"/>
    </row>
    <row r="267" spans="7:8" ht="12.75">
      <c r="G267" s="20"/>
      <c r="H267" s="20"/>
    </row>
    <row r="268" spans="7:8" ht="12.75">
      <c r="G268" s="20"/>
      <c r="H268" s="20"/>
    </row>
    <row r="269" spans="7:8" ht="12.75">
      <c r="G269" s="20"/>
      <c r="H269" s="20"/>
    </row>
    <row r="270" spans="7:8" ht="12.75">
      <c r="G270" s="20"/>
      <c r="H270" s="20"/>
    </row>
    <row r="271" spans="7:8" ht="12.75">
      <c r="G271" s="20"/>
      <c r="H271" s="20"/>
    </row>
    <row r="272" spans="7:8" ht="12.75">
      <c r="G272" s="20"/>
      <c r="H272" s="20"/>
    </row>
    <row r="273" spans="7:8" ht="12.75">
      <c r="G273" s="20"/>
      <c r="H273" s="20"/>
    </row>
    <row r="274" spans="7:8" ht="12.75">
      <c r="G274" s="20"/>
      <c r="H274" s="20"/>
    </row>
    <row r="275" spans="7:8" ht="12.75">
      <c r="G275" s="20"/>
      <c r="H275" s="20"/>
    </row>
    <row r="276" spans="7:8" ht="12.75">
      <c r="G276" s="20"/>
      <c r="H276" s="20"/>
    </row>
    <row r="277" spans="7:8" ht="12.75">
      <c r="G277" s="20"/>
      <c r="H277" s="20"/>
    </row>
    <row r="278" spans="7:8" ht="12.75">
      <c r="G278" s="20"/>
      <c r="H278" s="20"/>
    </row>
    <row r="279" spans="7:8" ht="12.75">
      <c r="G279" s="20"/>
      <c r="H279" s="20"/>
    </row>
    <row r="280" spans="7:8" ht="12.75">
      <c r="G280" s="20"/>
      <c r="H280" s="20"/>
    </row>
    <row r="281" spans="7:8" ht="12.75">
      <c r="G281" s="20"/>
      <c r="H281" s="20"/>
    </row>
    <row r="282" spans="7:8" ht="12.75">
      <c r="G282" s="20"/>
      <c r="H282" s="20"/>
    </row>
    <row r="283" spans="7:8" ht="12.75">
      <c r="G283" s="20"/>
      <c r="H283" s="20"/>
    </row>
    <row r="284" spans="7:8" ht="12.75">
      <c r="G284" s="20"/>
      <c r="H284" s="20"/>
    </row>
    <row r="285" spans="7:8" ht="12.75">
      <c r="G285" s="20"/>
      <c r="H285" s="20"/>
    </row>
    <row r="286" spans="7:8" ht="12.75">
      <c r="G286" s="20"/>
      <c r="H286" s="20"/>
    </row>
    <row r="287" spans="7:8" ht="12.75">
      <c r="G287" s="20"/>
      <c r="H287" s="20"/>
    </row>
    <row r="288" spans="7:8" ht="12.75">
      <c r="G288" s="20"/>
      <c r="H288" s="20"/>
    </row>
    <row r="289" spans="7:8" ht="12.75">
      <c r="G289" s="20"/>
      <c r="H289" s="20"/>
    </row>
    <row r="290" spans="7:8" ht="12.75">
      <c r="G290" s="20"/>
      <c r="H290" s="20"/>
    </row>
    <row r="291" spans="7:8" ht="12.75">
      <c r="G291" s="20"/>
      <c r="H291" s="20"/>
    </row>
    <row r="292" spans="7:8" ht="12.75">
      <c r="G292" s="20"/>
      <c r="H292" s="20"/>
    </row>
    <row r="293" spans="7:8" ht="12.75">
      <c r="G293" s="20"/>
      <c r="H293" s="20"/>
    </row>
    <row r="294" spans="7:8" ht="12.75">
      <c r="G294" s="20"/>
      <c r="H294" s="20"/>
    </row>
    <row r="295" spans="7:8" ht="12.75">
      <c r="G295" s="20"/>
      <c r="H295" s="20"/>
    </row>
    <row r="296" spans="7:8" ht="12.75">
      <c r="G296" s="20"/>
      <c r="H296" s="20"/>
    </row>
    <row r="297" spans="7:8" ht="12.75">
      <c r="G297" s="20"/>
      <c r="H297" s="20"/>
    </row>
    <row r="298" spans="7:8" ht="12.75">
      <c r="G298" s="20"/>
      <c r="H298" s="20"/>
    </row>
    <row r="299" spans="7:8" ht="12.75">
      <c r="G299" s="20"/>
      <c r="H299" s="20"/>
    </row>
    <row r="300" spans="7:8" ht="12.75">
      <c r="G300" s="20"/>
      <c r="H300" s="20"/>
    </row>
    <row r="301" spans="7:8" ht="12.75">
      <c r="G301" s="20"/>
      <c r="H301" s="20"/>
    </row>
    <row r="302" spans="7:8" ht="12.75">
      <c r="G302" s="20"/>
      <c r="H302" s="20"/>
    </row>
    <row r="303" spans="7:8" ht="12.75">
      <c r="G303" s="20"/>
      <c r="H303" s="20"/>
    </row>
    <row r="304" spans="7:8" ht="12.75">
      <c r="G304" s="20"/>
      <c r="H304" s="20"/>
    </row>
    <row r="305" spans="7:8" ht="12.75">
      <c r="G305" s="20"/>
      <c r="H305" s="20"/>
    </row>
    <row r="306" spans="7:8" ht="12.75">
      <c r="G306" s="20"/>
      <c r="H306" s="20"/>
    </row>
    <row r="307" spans="7:8" ht="12.75">
      <c r="G307" s="20"/>
      <c r="H307" s="20"/>
    </row>
    <row r="308" spans="7:8" ht="12.75">
      <c r="G308" s="20"/>
      <c r="H308" s="20"/>
    </row>
    <row r="309" spans="7:8" ht="12.75">
      <c r="G309" s="20"/>
      <c r="H309" s="20"/>
    </row>
    <row r="310" spans="7:8" ht="12.75">
      <c r="G310" s="20"/>
      <c r="H310" s="20"/>
    </row>
    <row r="311" spans="7:8" ht="12.75">
      <c r="G311" s="20"/>
      <c r="H311" s="20"/>
    </row>
    <row r="312" spans="7:8" ht="12.75">
      <c r="G312" s="20"/>
      <c r="H312" s="20"/>
    </row>
    <row r="313" spans="7:8" ht="12.75">
      <c r="G313" s="20"/>
      <c r="H313" s="20"/>
    </row>
    <row r="314" spans="7:8" ht="12.75">
      <c r="G314" s="20"/>
      <c r="H314" s="20"/>
    </row>
    <row r="315" spans="7:8" ht="12.75">
      <c r="G315" s="20"/>
      <c r="H315" s="20"/>
    </row>
    <row r="316" spans="7:8" ht="12.75">
      <c r="G316" s="20"/>
      <c r="H316" s="20"/>
    </row>
    <row r="317" spans="7:8" ht="12.75">
      <c r="G317" s="20"/>
      <c r="H317" s="20"/>
    </row>
    <row r="318" spans="7:8" ht="12.75">
      <c r="G318" s="20"/>
      <c r="H318" s="20"/>
    </row>
    <row r="319" spans="7:8" ht="12.75">
      <c r="G319" s="20"/>
      <c r="H319" s="20"/>
    </row>
    <row r="320" spans="7:8" ht="12.75">
      <c r="G320" s="20"/>
      <c r="H320" s="20"/>
    </row>
    <row r="321" spans="7:8" ht="12.75">
      <c r="G321" s="20"/>
      <c r="H321" s="20"/>
    </row>
    <row r="322" spans="7:8" ht="12.75">
      <c r="G322" s="20"/>
      <c r="H322" s="20"/>
    </row>
    <row r="323" spans="7:8" ht="12.75">
      <c r="G323" s="20"/>
      <c r="H323" s="20"/>
    </row>
    <row r="324" spans="7:8" ht="12.75">
      <c r="G324" s="20"/>
      <c r="H324" s="20"/>
    </row>
    <row r="325" spans="7:8" ht="12.75">
      <c r="G325" s="20"/>
      <c r="H325" s="20"/>
    </row>
    <row r="326" spans="7:8" ht="12.75">
      <c r="G326" s="20"/>
      <c r="H326" s="20"/>
    </row>
    <row r="327" spans="7:8" ht="12.75">
      <c r="G327" s="20"/>
      <c r="H327" s="20"/>
    </row>
    <row r="328" spans="7:8" ht="12.75">
      <c r="G328" s="20"/>
      <c r="H328" s="20"/>
    </row>
    <row r="329" spans="7:8" ht="12.75">
      <c r="G329" s="20"/>
      <c r="H329" s="20"/>
    </row>
    <row r="330" spans="7:8" ht="12.75">
      <c r="G330" s="20"/>
      <c r="H330" s="20"/>
    </row>
    <row r="331" spans="7:8" ht="12.75">
      <c r="G331" s="20"/>
      <c r="H331" s="20"/>
    </row>
    <row r="332" spans="7:8" ht="12.75">
      <c r="G332" s="20"/>
      <c r="H332" s="20"/>
    </row>
    <row r="333" spans="7:8" ht="12.75">
      <c r="G333" s="20"/>
      <c r="H333" s="20"/>
    </row>
    <row r="334" spans="7:8" ht="12.75">
      <c r="G334" s="20"/>
      <c r="H334" s="20"/>
    </row>
    <row r="335" spans="7:8" ht="12.75">
      <c r="G335" s="20"/>
      <c r="H335" s="20"/>
    </row>
    <row r="336" spans="7:8" ht="12.75">
      <c r="G336" s="20"/>
      <c r="H336" s="20"/>
    </row>
    <row r="337" spans="7:8" ht="12.75">
      <c r="G337" s="20"/>
      <c r="H337" s="20"/>
    </row>
    <row r="338" spans="7:8" ht="12.75">
      <c r="G338" s="20"/>
      <c r="H338" s="20"/>
    </row>
    <row r="339" spans="7:8" ht="12.75">
      <c r="G339" s="20"/>
      <c r="H339" s="20"/>
    </row>
    <row r="340" spans="7:8" ht="12.75">
      <c r="G340" s="20"/>
      <c r="H340" s="20"/>
    </row>
    <row r="341" spans="7:8" ht="12.75">
      <c r="G341" s="20"/>
      <c r="H341" s="20"/>
    </row>
    <row r="342" spans="7:8" ht="12.75">
      <c r="G342" s="20"/>
      <c r="H342" s="20"/>
    </row>
    <row r="343" spans="7:8" ht="12.75">
      <c r="G343" s="20"/>
      <c r="H343" s="20"/>
    </row>
    <row r="344" spans="7:8" ht="12.75">
      <c r="G344" s="20"/>
      <c r="H344" s="20"/>
    </row>
    <row r="345" spans="7:8" ht="12.75">
      <c r="G345" s="20"/>
      <c r="H345" s="20"/>
    </row>
    <row r="346" spans="7:8" ht="12.75">
      <c r="G346" s="20"/>
      <c r="H346" s="20"/>
    </row>
    <row r="347" spans="7:8" ht="12.75">
      <c r="G347" s="20"/>
      <c r="H347" s="20"/>
    </row>
    <row r="348" spans="7:8" ht="12.75">
      <c r="G348" s="20"/>
      <c r="H348" s="20"/>
    </row>
    <row r="349" spans="7:8" ht="12.75">
      <c r="G349" s="20"/>
      <c r="H349" s="20"/>
    </row>
    <row r="350" spans="7:8" ht="12.75">
      <c r="G350" s="20"/>
      <c r="H350" s="20"/>
    </row>
    <row r="351" spans="7:8" ht="12.75">
      <c r="G351" s="20"/>
      <c r="H351" s="20"/>
    </row>
    <row r="352" spans="7:8" ht="12.75">
      <c r="G352" s="20"/>
      <c r="H352" s="20"/>
    </row>
    <row r="353" spans="7:8" ht="12.75">
      <c r="G353" s="20"/>
      <c r="H353" s="20"/>
    </row>
    <row r="354" spans="7:8" ht="12.75">
      <c r="G354" s="20"/>
      <c r="H354" s="20"/>
    </row>
    <row r="355" spans="7:8" ht="12.75">
      <c r="G355" s="20"/>
      <c r="H355" s="20"/>
    </row>
    <row r="356" spans="7:8" ht="12.75">
      <c r="G356" s="20"/>
      <c r="H356" s="20"/>
    </row>
    <row r="357" spans="7:8" ht="12.75">
      <c r="G357" s="20"/>
      <c r="H357" s="20"/>
    </row>
    <row r="358" spans="7:8" ht="12.75">
      <c r="G358" s="20"/>
      <c r="H358" s="20"/>
    </row>
    <row r="359" spans="7:8" ht="12.75">
      <c r="G359" s="20"/>
      <c r="H359" s="20"/>
    </row>
    <row r="360" spans="7:8" ht="12.75">
      <c r="G360" s="20"/>
      <c r="H360" s="20"/>
    </row>
    <row r="361" spans="7:8" ht="12.75">
      <c r="G361" s="20"/>
      <c r="H361" s="20"/>
    </row>
    <row r="362" spans="7:8" ht="12.75">
      <c r="G362" s="20"/>
      <c r="H362" s="20"/>
    </row>
    <row r="363" spans="7:8" ht="12.75">
      <c r="G363" s="20"/>
      <c r="H363" s="20"/>
    </row>
    <row r="364" spans="7:8" ht="12.75">
      <c r="G364" s="20"/>
      <c r="H364" s="20"/>
    </row>
    <row r="365" spans="7:8" ht="12.75">
      <c r="G365" s="20"/>
      <c r="H365" s="20"/>
    </row>
    <row r="366" spans="7:8" ht="12.75">
      <c r="G366" s="20"/>
      <c r="H366" s="20"/>
    </row>
    <row r="367" spans="7:8" ht="12.75">
      <c r="G367" s="20"/>
      <c r="H367" s="20"/>
    </row>
    <row r="368" spans="7:8" ht="12.75">
      <c r="G368" s="20"/>
      <c r="H368" s="20"/>
    </row>
    <row r="369" spans="7:8" ht="12.75">
      <c r="G369" s="20"/>
      <c r="H369" s="20"/>
    </row>
    <row r="370" spans="7:8" ht="12.75">
      <c r="G370" s="20"/>
      <c r="H370" s="20"/>
    </row>
    <row r="371" spans="7:8" ht="12.75">
      <c r="G371" s="20"/>
      <c r="H371" s="20"/>
    </row>
    <row r="372" spans="7:8" ht="12.75">
      <c r="G372" s="20"/>
      <c r="H372" s="20"/>
    </row>
    <row r="373" spans="7:8" ht="12.75">
      <c r="G373" s="20"/>
      <c r="H373" s="20"/>
    </row>
    <row r="374" spans="7:8" ht="12.75">
      <c r="G374" s="20"/>
      <c r="H374" s="20"/>
    </row>
    <row r="375" spans="7:8" ht="12.75">
      <c r="G375" s="20"/>
      <c r="H375" s="20"/>
    </row>
    <row r="376" spans="7:8" ht="12.75">
      <c r="G376" s="20"/>
      <c r="H376" s="20"/>
    </row>
    <row r="377" spans="7:8" ht="12.75">
      <c r="G377" s="20"/>
      <c r="H377" s="20"/>
    </row>
    <row r="378" spans="7:8" ht="12.75">
      <c r="G378" s="20"/>
      <c r="H378" s="20"/>
    </row>
    <row r="379" spans="7:8" ht="12.75">
      <c r="G379" s="20"/>
      <c r="H379" s="20"/>
    </row>
    <row r="380" spans="7:8" ht="12.75">
      <c r="G380" s="20"/>
      <c r="H380" s="20"/>
    </row>
    <row r="381" spans="7:8" ht="12.75">
      <c r="G381" s="20"/>
      <c r="H381" s="20"/>
    </row>
    <row r="382" spans="7:8" ht="12.75">
      <c r="G382" s="20"/>
      <c r="H382" s="20"/>
    </row>
    <row r="383" spans="7:8" ht="12.75">
      <c r="G383" s="20"/>
      <c r="H383" s="20"/>
    </row>
    <row r="384" spans="7:8" ht="12.75">
      <c r="G384" s="20"/>
      <c r="H384" s="20"/>
    </row>
    <row r="385" spans="7:8" ht="12.75">
      <c r="G385" s="20"/>
      <c r="H385" s="20"/>
    </row>
    <row r="386" spans="7:8" ht="12.75">
      <c r="G386" s="20"/>
      <c r="H386" s="20"/>
    </row>
    <row r="387" spans="7:8" ht="12.75">
      <c r="G387" s="20"/>
      <c r="H387" s="20"/>
    </row>
    <row r="388" spans="7:8" ht="12.75">
      <c r="G388" s="20"/>
      <c r="H388" s="20"/>
    </row>
    <row r="389" spans="7:8" ht="12.75">
      <c r="G389" s="20"/>
      <c r="H389" s="20"/>
    </row>
    <row r="390" spans="7:8" ht="12.75">
      <c r="G390" s="20"/>
      <c r="H390" s="20"/>
    </row>
    <row r="391" spans="7:8" ht="12.75">
      <c r="G391" s="20"/>
      <c r="H391" s="20"/>
    </row>
    <row r="392" spans="7:8" ht="12.75">
      <c r="G392" s="20"/>
      <c r="H392" s="20"/>
    </row>
    <row r="393" spans="7:8" ht="12.75">
      <c r="G393" s="20"/>
      <c r="H393" s="20"/>
    </row>
    <row r="394" spans="7:8" ht="12.75">
      <c r="G394" s="20"/>
      <c r="H394" s="20"/>
    </row>
    <row r="395" spans="7:8" ht="12.75">
      <c r="G395" s="20"/>
      <c r="H395" s="20"/>
    </row>
  </sheetData>
  <sheetProtection/>
  <mergeCells count="10">
    <mergeCell ref="A1:I1"/>
    <mergeCell ref="I3:I5"/>
    <mergeCell ref="G3:G5"/>
    <mergeCell ref="A3:A5"/>
    <mergeCell ref="D3:D5"/>
    <mergeCell ref="E3:E5"/>
    <mergeCell ref="C3:C5"/>
    <mergeCell ref="B3:B5"/>
    <mergeCell ref="F3:F5"/>
    <mergeCell ref="H3:H5"/>
  </mergeCells>
  <conditionalFormatting sqref="E8:E17">
    <cfRule type="cellIs" priority="1" dxfId="1" operator="lessThan" stopIfTrue="1">
      <formula>0</formula>
    </cfRule>
  </conditionalFormatting>
  <conditionalFormatting sqref="H6:I156">
    <cfRule type="cellIs" priority="3" dxfId="0" operator="lessThan" stopIfTrue="1">
      <formula>0</formula>
    </cfRule>
  </conditionalFormatting>
  <printOptions/>
  <pageMargins left="0.54" right="0.16" top="0.2" bottom="0.19" header="0.17" footer="0.18"/>
  <pageSetup fitToHeight="2" fitToWidth="1" horizontalDpi="600" verticalDpi="600" orientation="portrait" paperSize="9" scale="4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"/>
  <sheetViews>
    <sheetView zoomScalePageLayoutView="0" workbookViewId="0" topLeftCell="A4">
      <selection activeCell="S23" sqref="S23"/>
    </sheetView>
  </sheetViews>
  <sheetFormatPr defaultColWidth="9.00390625" defaultRowHeight="12.75"/>
  <cols>
    <col min="5" max="5" width="11.75390625" style="0" customWidth="1"/>
  </cols>
  <sheetData>
    <row r="1" spans="1:5" ht="15.75">
      <c r="A1" s="4" t="s">
        <v>33</v>
      </c>
      <c r="B1" s="4"/>
      <c r="C1" s="4"/>
      <c r="D1" s="4" t="s">
        <v>31</v>
      </c>
      <c r="E1" s="5">
        <f>'аналіз фінансування'!C150</f>
        <v>1838965.0999999999</v>
      </c>
    </row>
    <row r="2" spans="1:5" ht="15.75">
      <c r="A2" s="4"/>
      <c r="B2" s="4"/>
      <c r="C2" s="4"/>
      <c r="D2" s="4" t="s">
        <v>32</v>
      </c>
      <c r="E2" s="5">
        <f>'аналіз фінансування'!D150</f>
        <v>103547.1</v>
      </c>
    </row>
  </sheetData>
  <sheetProtection/>
  <printOptions/>
  <pageMargins left="0.6" right="0.27" top="0.55" bottom="0.59" header="0.5" footer="0.5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12" sqref="Q12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6" sqref="R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S16" sqref="S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S23" sqref="S2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7" sqref="R17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21" sqref="S21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5">
      <selection activeCell="S20" sqref="S20"/>
    </sheetView>
  </sheetViews>
  <sheetFormatPr defaultColWidth="9.00390625" defaultRowHeight="12.75"/>
  <cols>
    <col min="2" max="2" width="8.25390625" style="0" customWidth="1"/>
  </cols>
  <sheetData/>
  <sheetProtection/>
  <printOptions/>
  <pageMargins left="0.75" right="0.75" top="1" bottom="1" header="0.5" footer="0.5"/>
  <pageSetup fitToHeight="1" fitToWidth="1" horizontalDpi="600" verticalDpi="600" orientation="landscape" paperSize="9" scale="9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R16" sqref="R16"/>
    </sheetView>
  </sheetViews>
  <sheetFormatPr defaultColWidth="9.00390625" defaultRowHeight="12.75"/>
  <cols>
    <col min="5" max="5" width="13.625" style="0" customWidth="1"/>
  </cols>
  <sheetData>
    <row r="1" spans="1:5" ht="15.75">
      <c r="A1" s="4" t="s">
        <v>33</v>
      </c>
      <c r="B1" s="4"/>
      <c r="C1" s="4"/>
      <c r="D1" s="4" t="s">
        <v>31</v>
      </c>
      <c r="E1" s="5">
        <f>'аналіз фінансування'!C150</f>
        <v>1838965.0999999999</v>
      </c>
    </row>
    <row r="2" spans="1:5" ht="15.75">
      <c r="A2" s="4"/>
      <c r="B2" s="4"/>
      <c r="C2" s="4"/>
      <c r="D2" s="4" t="s">
        <v>32</v>
      </c>
      <c r="E2" s="5">
        <f>'аналіз фінансування'!D150</f>
        <v>103547.1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Ivanov</dc:creator>
  <cp:keywords/>
  <dc:description/>
  <cp:lastModifiedBy>plan3</cp:lastModifiedBy>
  <cp:lastPrinted>2017-01-31T15:28:49Z</cp:lastPrinted>
  <dcterms:created xsi:type="dcterms:W3CDTF">2000-06-20T04:48:00Z</dcterms:created>
  <dcterms:modified xsi:type="dcterms:W3CDTF">2017-02-03T06:29:39Z</dcterms:modified>
  <cp:category/>
  <cp:version/>
  <cp:contentType/>
  <cp:contentStatus/>
</cp:coreProperties>
</file>